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5180" windowHeight="9060" tabRatio="602" activeTab="7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<sst xmlns="http://schemas.openxmlformats.org/spreadsheetml/2006/main" count="477" uniqueCount="122">
  <si>
    <t>px</t>
  </si>
  <si>
    <t>py</t>
  </si>
  <si>
    <t>x</t>
  </si>
  <si>
    <t>y</t>
  </si>
  <si>
    <t xml:space="preserve"> Track Hit</t>
  </si>
  <si>
    <t>dx</t>
  </si>
  <si>
    <t>a</t>
  </si>
  <si>
    <t>b</t>
  </si>
  <si>
    <t>- 1/a</t>
  </si>
  <si>
    <t>circle intersection function = ax+b</t>
  </si>
  <si>
    <t>errtotsq</t>
  </si>
  <si>
    <t>pxy</t>
  </si>
  <si>
    <t>pz</t>
  </si>
  <si>
    <t>ptot</t>
  </si>
  <si>
    <t>Esq=</t>
  </si>
  <si>
    <t>restmass=</t>
  </si>
  <si>
    <t xml:space="preserve">  # of Hits:</t>
  </si>
  <si>
    <t xml:space="preserve">   iteration in y</t>
  </si>
  <si>
    <t xml:space="preserve">   iteration in x</t>
  </si>
  <si>
    <t>_________</t>
  </si>
  <si>
    <t>assign xdir</t>
  </si>
  <si>
    <t>assign ydir</t>
  </si>
  <si>
    <t>intersection length L:</t>
  </si>
  <si>
    <t>Radius is:</t>
  </si>
  <si>
    <t>phi in:</t>
  </si>
  <si>
    <t>x iter</t>
  </si>
  <si>
    <t>y iter</t>
  </si>
  <si>
    <t>dy</t>
  </si>
  <si>
    <t>dz</t>
  </si>
  <si>
    <t>z</t>
  </si>
  <si>
    <t>theta:</t>
  </si>
  <si>
    <t>phi out:</t>
  </si>
  <si>
    <t>phi origin:</t>
  </si>
  <si>
    <t>dist origin:</t>
  </si>
  <si>
    <t>E=</t>
  </si>
  <si>
    <t>x-loc centre</t>
  </si>
  <si>
    <t>y-loc centre</t>
  </si>
  <si>
    <t xml:space="preserve">   iteration in R</t>
  </si>
  <si>
    <t>sqrt(R^2-(L/2)^2) iter =</t>
  </si>
  <si>
    <t xml:space="preserve">      xc iter =</t>
  </si>
  <si>
    <t xml:space="preserve">      yc iter =</t>
  </si>
  <si>
    <t xml:space="preserve">          +/-</t>
  </si>
  <si>
    <t xml:space="preserve">        dx =</t>
  </si>
  <si>
    <t xml:space="preserve">        dy =</t>
  </si>
  <si>
    <t xml:space="preserve">   chi sq =</t>
  </si>
  <si>
    <t xml:space="preserve">  errsq for R+dR, xc+dx, yc+dy</t>
  </si>
  <si>
    <t xml:space="preserve">      sum=</t>
  </si>
  <si>
    <t xml:space="preserve">        pi  =</t>
  </si>
  <si>
    <t>yes=1/no=0</t>
  </si>
  <si>
    <t xml:space="preserve">         first</t>
  </si>
  <si>
    <t xml:space="preserve">         last</t>
  </si>
  <si>
    <t xml:space="preserve">     first hit</t>
  </si>
  <si>
    <t xml:space="preserve">     last hit</t>
  </si>
  <si>
    <t>final results track 6:</t>
  </si>
  <si>
    <t>final results track 5:</t>
  </si>
  <si>
    <t>final results track 7:</t>
  </si>
  <si>
    <t>final results track 2:</t>
  </si>
  <si>
    <t>final results track 3:</t>
  </si>
  <si>
    <t>final results track 4:</t>
  </si>
  <si>
    <t>sum x momenta:</t>
  </si>
  <si>
    <t>sum y momenta:</t>
  </si>
  <si>
    <t>sum z momenta:</t>
  </si>
  <si>
    <t>sum energies</t>
  </si>
  <si>
    <t>sum x momenta track 4+6</t>
  </si>
  <si>
    <t>sum energies track 4+6</t>
  </si>
  <si>
    <t>sum y momenta track 4+6</t>
  </si>
  <si>
    <t>sum z momenta track 4+6</t>
  </si>
  <si>
    <t>sum xy momenta:</t>
  </si>
  <si>
    <t>final results track 1:</t>
  </si>
  <si>
    <t>orient out</t>
  </si>
  <si>
    <t>orient orig</t>
  </si>
  <si>
    <t>orient. in</t>
  </si>
  <si>
    <t>orientation of flight</t>
  </si>
  <si>
    <t>a=</t>
  </si>
  <si>
    <t>b=</t>
  </si>
  <si>
    <t>The distance (d) between the centres is:</t>
  </si>
  <si>
    <t>d= d1+d2 and d2 is equal to (R2^2-R1^2+d^2)/(2d) =</t>
  </si>
  <si>
    <t>thus d1 =</t>
  </si>
  <si>
    <t>h=</t>
  </si>
  <si>
    <t>or</t>
  </si>
  <si>
    <t>Thus this is the correct one</t>
  </si>
  <si>
    <t>sum xy momenta track 4+6</t>
  </si>
  <si>
    <t>phi</t>
  </si>
  <si>
    <t>sum:</t>
  </si>
  <si>
    <t>GeV</t>
  </si>
  <si>
    <t>its rest mass must have been:</t>
  </si>
  <si>
    <t xml:space="preserve">During its life it travelled </t>
  </si>
  <si>
    <t>c which equals</t>
  </si>
  <si>
    <t>m, its relative velocity was</t>
  </si>
  <si>
    <t>m/s</t>
  </si>
  <si>
    <t>so its lifetime in our reference system was</t>
  </si>
  <si>
    <t xml:space="preserve">seconds, thus in its own reference system:  </t>
  </si>
  <si>
    <t>seconds</t>
  </si>
  <si>
    <t>total momentum:</t>
  </si>
  <si>
    <t>total mass:</t>
  </si>
  <si>
    <t xml:space="preserve">         R =</t>
  </si>
  <si>
    <t>CERN</t>
  </si>
  <si>
    <t>your data</t>
  </si>
  <si>
    <r>
      <t xml:space="preserve">     </t>
    </r>
    <r>
      <rPr>
        <sz val="10"/>
        <color indexed="10"/>
        <rFont val="Arial"/>
        <family val="2"/>
      </rPr>
      <t>CERN</t>
    </r>
  </si>
  <si>
    <t>by the book</t>
  </si>
  <si>
    <t>This intersection is located somewhere on the line between the centre of track 4 and the centre of track 6:</t>
  </si>
  <si>
    <t xml:space="preserve">      average=</t>
  </si>
  <si>
    <t>c =</t>
  </si>
  <si>
    <t>circle intersection function l(x) = ax+b</t>
  </si>
  <si>
    <t>line intersection function m(x) = -1/a x+c</t>
  </si>
  <si>
    <t xml:space="preserve"> pi  =</t>
  </si>
  <si>
    <t>Track 4 and 6 were produced by the decay of another particle</t>
  </si>
  <si>
    <t>The decay must have taken place at the intersection of the circular motion of both particles</t>
  </si>
  <si>
    <t>This line is defined as l(x) = ax+b with:</t>
  </si>
  <si>
    <t>Thus the location of the intersection (s) is either</t>
  </si>
  <si>
    <t>xs =</t>
  </si>
  <si>
    <t>ys=</t>
  </si>
  <si>
    <t xml:space="preserve">xs= </t>
  </si>
  <si>
    <t>we can calculate the momenta of the particles,  from track 4 and 6, these are:</t>
  </si>
  <si>
    <t xml:space="preserve">At the intersection where the particles were created. In a similar way as on the other worksheets, </t>
  </si>
  <si>
    <t>Thus the decayed particle had a momentum of 1.18 GeV</t>
  </si>
  <si>
    <t xml:space="preserve">The particles of track 4 and 6 have a total energy of: </t>
  </si>
  <si>
    <t>Thus the decayed particle had an energy of 1.279 GeV</t>
  </si>
  <si>
    <r>
      <t>with E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0"/>
      </rPr>
      <t>= m</t>
    </r>
    <r>
      <rPr>
        <vertAlign val="subscript"/>
        <sz val="10"/>
        <rFont val="Arial"/>
        <family val="2"/>
      </rPr>
      <t>0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+ p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, we find that</t>
    </r>
  </si>
  <si>
    <r>
      <t xml:space="preserve">  </t>
    </r>
    <r>
      <rPr>
        <sz val="10"/>
        <color indexed="10"/>
        <rFont val="Arial"/>
        <family val="2"/>
      </rPr>
      <t>CERN</t>
    </r>
  </si>
  <si>
    <r>
      <t xml:space="preserve">  </t>
    </r>
    <r>
      <rPr>
        <sz val="10"/>
        <color indexed="10"/>
        <rFont val="Arial"/>
        <family val="2"/>
      </rPr>
      <t>GeV</t>
    </r>
  </si>
  <si>
    <r>
      <t xml:space="preserve">A particle with these properties is a </t>
    </r>
    <r>
      <rPr>
        <sz val="10"/>
        <color indexed="12"/>
        <rFont val="Arial"/>
        <family val="2"/>
      </rPr>
      <t>K short</t>
    </r>
    <r>
      <rPr>
        <sz val="10"/>
        <rFont val="Arial"/>
        <family val="0"/>
      </rPr>
      <t>. According to the book it has the following lifetime: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</si>
</sst>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0"/>
    <numFmt numFmtId="168" formatCode="0.0000"/>
    <numFmt numFmtId="169" formatCode="0.0000E+00"/>
    <numFmt numFmtId="170" formatCode="0.00000E+00"/>
    <numFmt numFmtId="171" formatCode="0.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.5"/>
      <name val="Arial"/>
      <family val="0"/>
    </font>
    <font>
      <sz val="8"/>
      <name val="Arial"/>
      <family val="0"/>
    </font>
    <font>
      <sz val="5.75"/>
      <name val="Arial"/>
      <family val="0"/>
    </font>
    <font>
      <sz val="9.5"/>
      <name val="Arial"/>
      <family val="0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69" fontId="0" fillId="0" borderId="0" xfId="0" applyNumberFormat="1" applyAlignment="1">
      <alignment/>
    </xf>
    <xf numFmtId="171" fontId="7" fillId="0" borderId="0" xfId="0" applyNumberFormat="1" applyFont="1" applyAlignment="1">
      <alignment/>
    </xf>
    <xf numFmtId="169" fontId="10" fillId="0" borderId="0" xfId="0" applyNumberFormat="1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CERN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20"/>
                <c:pt idx="0">
                  <c:v>-39.6991</c:v>
                </c:pt>
                <c:pt idx="1">
                  <c:v>-46.112</c:v>
                </c:pt>
                <c:pt idx="2">
                  <c:v>-71.6424</c:v>
                </c:pt>
                <c:pt idx="3">
                  <c:v>-78.0069</c:v>
                </c:pt>
                <c:pt idx="4">
                  <c:v>-84.3483</c:v>
                </c:pt>
                <c:pt idx="5">
                  <c:v>-90.6602</c:v>
                </c:pt>
                <c:pt idx="6">
                  <c:v>-99.6658</c:v>
                </c:pt>
                <c:pt idx="7">
                  <c:v>-105.9212</c:v>
                </c:pt>
                <c:pt idx="8">
                  <c:v>-112.1322</c:v>
                </c:pt>
                <c:pt idx="9">
                  <c:v>-118.3069</c:v>
                </c:pt>
                <c:pt idx="10">
                  <c:v>-124.4216</c:v>
                </c:pt>
                <c:pt idx="11">
                  <c:v>-130.5007</c:v>
                </c:pt>
                <c:pt idx="12">
                  <c:v>-136.5026</c:v>
                </c:pt>
                <c:pt idx="13">
                  <c:v>-142.4529</c:v>
                </c:pt>
                <c:pt idx="14">
                  <c:v>-148.3273</c:v>
                </c:pt>
                <c:pt idx="15">
                  <c:v>-154.1378</c:v>
                </c:pt>
                <c:pt idx="16">
                  <c:v>-159.8845</c:v>
                </c:pt>
                <c:pt idx="17">
                  <c:v>0</c:v>
                </c:pt>
                <c:pt idx="18">
                  <c:v>0</c:v>
                </c:pt>
                <c:pt idx="19">
                  <c:v>-165.5533</c:v>
                </c:pt>
              </c:strCache>
            </c:strRef>
          </c:xVal>
          <c:yVal>
            <c:numRef>
              <c:f>Sheet1!#REF!</c:f>
              <c:numCache>
                <c:ptCount val="20"/>
                <c:pt idx="0">
                  <c:v>1.7673</c:v>
                </c:pt>
                <c:pt idx="1">
                  <c:v>1.4465</c:v>
                </c:pt>
                <c:pt idx="2">
                  <c:v>-1.7444</c:v>
                </c:pt>
                <c:pt idx="3">
                  <c:v>-2.9562</c:v>
                </c:pt>
                <c:pt idx="4">
                  <c:v>-4.2635</c:v>
                </c:pt>
                <c:pt idx="5">
                  <c:v>-5.8636</c:v>
                </c:pt>
                <c:pt idx="6">
                  <c:v>-8.4286</c:v>
                </c:pt>
                <c:pt idx="7">
                  <c:v>-10.4448</c:v>
                </c:pt>
                <c:pt idx="8">
                  <c:v>-12.6909</c:v>
                </c:pt>
                <c:pt idx="9">
                  <c:v>-15.0751</c:v>
                </c:pt>
                <c:pt idx="10">
                  <c:v>-17.7325</c:v>
                </c:pt>
                <c:pt idx="11">
                  <c:v>-20.446</c:v>
                </c:pt>
                <c:pt idx="12">
                  <c:v>-23.4521</c:v>
                </c:pt>
                <c:pt idx="13">
                  <c:v>-26.5738</c:v>
                </c:pt>
                <c:pt idx="14">
                  <c:v>-29.9367</c:v>
                </c:pt>
                <c:pt idx="15">
                  <c:v>-33.5045</c:v>
                </c:pt>
                <c:pt idx="16">
                  <c:v>-37.2683</c:v>
                </c:pt>
                <c:pt idx="17">
                  <c:v>0</c:v>
                </c:pt>
                <c:pt idx="18">
                  <c:v>0</c:v>
                </c:pt>
                <c:pt idx="19">
                  <c:v>-41.1996</c:v>
                </c:pt>
              </c:numCache>
            </c:numRef>
          </c:yVal>
          <c:smooth val="1"/>
        </c:ser>
        <c:ser>
          <c:idx val="1"/>
          <c:order val="1"/>
          <c:tx>
            <c:v>your curve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Sheet1!#REF!</c:f>
              <c:strCache>
                <c:ptCount val="20"/>
                <c:pt idx="0">
                  <c:v>-39.69826206367879</c:v>
                </c:pt>
                <c:pt idx="1">
                  <c:v>-46.78883537415709</c:v>
                </c:pt>
                <c:pt idx="2">
                  <c:v>-53.864794859981714</c:v>
                </c:pt>
                <c:pt idx="3">
                  <c:v>-60.91943772824436</c:v>
                </c:pt>
                <c:pt idx="4">
                  <c:v>-67.94608137847462</c:v>
                </c:pt>
                <c:pt idx="5">
                  <c:v>-74.9380697328188</c:v>
                </c:pt>
                <c:pt idx="6">
                  <c:v>-81.88877954109417</c:v>
                </c:pt>
                <c:pt idx="7">
                  <c:v>-88.79162665474755</c:v>
                </c:pt>
                <c:pt idx="8">
                  <c:v>-95.64007226377407</c:v>
                </c:pt>
                <c:pt idx="9">
                  <c:v>-102.42762909068794</c:v>
                </c:pt>
                <c:pt idx="10">
                  <c:v>-109.14786753567954</c:v>
                </c:pt>
                <c:pt idx="11">
                  <c:v>-115.79442176713515</c:v>
                </c:pt>
                <c:pt idx="12">
                  <c:v>-122.36099575175271</c:v>
                </c:pt>
                <c:pt idx="13">
                  <c:v>-128.84136921853914</c:v>
                </c:pt>
                <c:pt idx="14">
                  <c:v>-135.22940355104237</c:v>
                </c:pt>
                <c:pt idx="15">
                  <c:v>-141.51904760223277</c:v>
                </c:pt>
                <c:pt idx="16">
                  <c:v>-147.70434342653056</c:v>
                </c:pt>
                <c:pt idx="17">
                  <c:v>-153.7794319235451</c:v>
                </c:pt>
                <c:pt idx="18">
                  <c:v>-159.7385583881828</c:v>
                </c:pt>
                <c:pt idx="19">
                  <c:v>-165.57607796186485</c:v>
                </c:pt>
              </c:strCache>
            </c:strRef>
          </c:xVal>
          <c:yVal>
            <c:numRef>
              <c:f>Sheet1!#REF!</c:f>
              <c:numCache>
                <c:ptCount val="20"/>
                <c:pt idx="0">
                  <c:v>1.7441517289676653</c:v>
                </c:pt>
                <c:pt idx="1">
                  <c:v>1.3784043299979487</c:v>
                </c:pt>
                <c:pt idx="2">
                  <c:v>0.7946249315192233</c:v>
                </c:pt>
                <c:pt idx="3">
                  <c:v>-0.00663347398463543</c:v>
                </c:pt>
                <c:pt idx="4">
                  <c:v>-1.024611884265397</c:v>
                </c:pt>
                <c:pt idx="5">
                  <c:v>-2.258346006285052</c:v>
                </c:pt>
                <c:pt idx="6">
                  <c:v>-3.706667169654679</c:v>
                </c:pt>
                <c:pt idx="7">
                  <c:v>-5.368203433672619</c:v>
                </c:pt>
                <c:pt idx="8">
                  <c:v>-7.2413808869123955</c:v>
                </c:pt>
                <c:pt idx="9">
                  <c:v>-9.32442513813072</c:v>
                </c:pt>
                <c:pt idx="10">
                  <c:v>-11.615362997082087</c:v>
                </c:pt>
                <c:pt idx="11">
                  <c:v>-14.112024343648528</c:v>
                </c:pt>
                <c:pt idx="12">
                  <c:v>-16.81204418351348</c:v>
                </c:pt>
                <c:pt idx="13">
                  <c:v>-19.712864888432733</c:v>
                </c:pt>
                <c:pt idx="14">
                  <c:v>-22.811738618980854</c:v>
                </c:pt>
                <c:pt idx="15">
                  <c:v>-26.10572992747646</c:v>
                </c:pt>
                <c:pt idx="16">
                  <c:v>-29.591718538623127</c:v>
                </c:pt>
                <c:pt idx="17">
                  <c:v>-33.266402305229605</c:v>
                </c:pt>
                <c:pt idx="18">
                  <c:v>-37.12630033621102</c:v>
                </c:pt>
                <c:pt idx="19">
                  <c:v>-41.1677562939073</c:v>
                </c:pt>
              </c:numCache>
            </c:numRef>
          </c:yVal>
          <c:smooth val="1"/>
        </c:ser>
        <c:axId val="53934419"/>
        <c:axId val="15647724"/>
      </c:scatterChart>
      <c:valAx>
        <c:axId val="53934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47724"/>
        <c:crosses val="autoZero"/>
        <c:crossBetween val="midCat"/>
        <c:dispUnits/>
      </c:valAx>
      <c:valAx>
        <c:axId val="15647724"/>
        <c:scaling>
          <c:orientation val="minMax"/>
          <c:min val="-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344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CERN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20"/>
                <c:pt idx="0">
                  <c:v>-39.6991</c:v>
                </c:pt>
                <c:pt idx="1">
                  <c:v>-46.112</c:v>
                </c:pt>
                <c:pt idx="2">
                  <c:v>-71.6424</c:v>
                </c:pt>
                <c:pt idx="3">
                  <c:v>-78.0069</c:v>
                </c:pt>
                <c:pt idx="4">
                  <c:v>-84.3483</c:v>
                </c:pt>
                <c:pt idx="5">
                  <c:v>-90.6602</c:v>
                </c:pt>
                <c:pt idx="6">
                  <c:v>-99.6658</c:v>
                </c:pt>
                <c:pt idx="7">
                  <c:v>-105.9212</c:v>
                </c:pt>
                <c:pt idx="8">
                  <c:v>-112.1322</c:v>
                </c:pt>
                <c:pt idx="9">
                  <c:v>-118.3069</c:v>
                </c:pt>
                <c:pt idx="10">
                  <c:v>-124.4216</c:v>
                </c:pt>
                <c:pt idx="11">
                  <c:v>-130.5007</c:v>
                </c:pt>
                <c:pt idx="12">
                  <c:v>-136.5026</c:v>
                </c:pt>
                <c:pt idx="13">
                  <c:v>-142.4529</c:v>
                </c:pt>
                <c:pt idx="14">
                  <c:v>-148.3273</c:v>
                </c:pt>
                <c:pt idx="15">
                  <c:v>-154.1378</c:v>
                </c:pt>
                <c:pt idx="16">
                  <c:v>-159.8845</c:v>
                </c:pt>
                <c:pt idx="17">
                  <c:v>0</c:v>
                </c:pt>
                <c:pt idx="18">
                  <c:v>0</c:v>
                </c:pt>
                <c:pt idx="19">
                  <c:v>-165.5533</c:v>
                </c:pt>
              </c:strCache>
            </c:strRef>
          </c:xVal>
          <c:yVal>
            <c:numRef>
              <c:f>Sheet1!#REF!</c:f>
              <c:numCache>
                <c:ptCount val="20"/>
                <c:pt idx="0">
                  <c:v>1.7673</c:v>
                </c:pt>
                <c:pt idx="1">
                  <c:v>1.4465</c:v>
                </c:pt>
                <c:pt idx="2">
                  <c:v>-1.7444</c:v>
                </c:pt>
                <c:pt idx="3">
                  <c:v>-2.9562</c:v>
                </c:pt>
                <c:pt idx="4">
                  <c:v>-4.2635</c:v>
                </c:pt>
                <c:pt idx="5">
                  <c:v>-5.8636</c:v>
                </c:pt>
                <c:pt idx="6">
                  <c:v>-8.4286</c:v>
                </c:pt>
                <c:pt idx="7">
                  <c:v>-10.4448</c:v>
                </c:pt>
                <c:pt idx="8">
                  <c:v>-12.6909</c:v>
                </c:pt>
                <c:pt idx="9">
                  <c:v>-15.0751</c:v>
                </c:pt>
                <c:pt idx="10">
                  <c:v>-17.7325</c:v>
                </c:pt>
                <c:pt idx="11">
                  <c:v>-20.446</c:v>
                </c:pt>
                <c:pt idx="12">
                  <c:v>-23.4521</c:v>
                </c:pt>
                <c:pt idx="13">
                  <c:v>-26.5738</c:v>
                </c:pt>
                <c:pt idx="14">
                  <c:v>-29.9367</c:v>
                </c:pt>
                <c:pt idx="15">
                  <c:v>-33.5045</c:v>
                </c:pt>
                <c:pt idx="16">
                  <c:v>-37.2683</c:v>
                </c:pt>
                <c:pt idx="17">
                  <c:v>0</c:v>
                </c:pt>
                <c:pt idx="18">
                  <c:v>0</c:v>
                </c:pt>
                <c:pt idx="19">
                  <c:v>-41.1996</c:v>
                </c:pt>
              </c:numCache>
            </c:numRef>
          </c:yVal>
          <c:smooth val="1"/>
        </c:ser>
        <c:ser>
          <c:idx val="1"/>
          <c:order val="1"/>
          <c:tx>
            <c:v>your curve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Sheet1!#REF!</c:f>
              <c:strCache>
                <c:ptCount val="20"/>
                <c:pt idx="0">
                  <c:v>-39.69826206367879</c:v>
                </c:pt>
                <c:pt idx="1">
                  <c:v>-46.78883537415709</c:v>
                </c:pt>
                <c:pt idx="2">
                  <c:v>-53.864794859981714</c:v>
                </c:pt>
                <c:pt idx="3">
                  <c:v>-60.91943772824436</c:v>
                </c:pt>
                <c:pt idx="4">
                  <c:v>-67.94608137847462</c:v>
                </c:pt>
                <c:pt idx="5">
                  <c:v>-74.9380697328188</c:v>
                </c:pt>
                <c:pt idx="6">
                  <c:v>-81.88877954109417</c:v>
                </c:pt>
                <c:pt idx="7">
                  <c:v>-88.79162665474755</c:v>
                </c:pt>
                <c:pt idx="8">
                  <c:v>-95.64007226377407</c:v>
                </c:pt>
                <c:pt idx="9">
                  <c:v>-102.42762909068794</c:v>
                </c:pt>
                <c:pt idx="10">
                  <c:v>-109.14786753567954</c:v>
                </c:pt>
                <c:pt idx="11">
                  <c:v>-115.79442176713515</c:v>
                </c:pt>
                <c:pt idx="12">
                  <c:v>-122.36099575175271</c:v>
                </c:pt>
                <c:pt idx="13">
                  <c:v>-128.84136921853914</c:v>
                </c:pt>
                <c:pt idx="14">
                  <c:v>-135.22940355104237</c:v>
                </c:pt>
                <c:pt idx="15">
                  <c:v>-141.51904760223277</c:v>
                </c:pt>
                <c:pt idx="16">
                  <c:v>-147.70434342653056</c:v>
                </c:pt>
                <c:pt idx="17">
                  <c:v>-153.7794319235451</c:v>
                </c:pt>
                <c:pt idx="18">
                  <c:v>-159.7385583881828</c:v>
                </c:pt>
                <c:pt idx="19">
                  <c:v>-165.57607796186485</c:v>
                </c:pt>
              </c:strCache>
            </c:strRef>
          </c:xVal>
          <c:yVal>
            <c:numRef>
              <c:f>Sheet1!#REF!</c:f>
              <c:numCache>
                <c:ptCount val="20"/>
                <c:pt idx="0">
                  <c:v>1.7441517289676653</c:v>
                </c:pt>
                <c:pt idx="1">
                  <c:v>1.3784043299979487</c:v>
                </c:pt>
                <c:pt idx="2">
                  <c:v>0.7946249315192233</c:v>
                </c:pt>
                <c:pt idx="3">
                  <c:v>-0.00663347398463543</c:v>
                </c:pt>
                <c:pt idx="4">
                  <c:v>-1.024611884265397</c:v>
                </c:pt>
                <c:pt idx="5">
                  <c:v>-2.258346006285052</c:v>
                </c:pt>
                <c:pt idx="6">
                  <c:v>-3.706667169654679</c:v>
                </c:pt>
                <c:pt idx="7">
                  <c:v>-5.368203433672619</c:v>
                </c:pt>
                <c:pt idx="8">
                  <c:v>-7.2413808869123955</c:v>
                </c:pt>
                <c:pt idx="9">
                  <c:v>-9.32442513813072</c:v>
                </c:pt>
                <c:pt idx="10">
                  <c:v>-11.615362997082087</c:v>
                </c:pt>
                <c:pt idx="11">
                  <c:v>-14.112024343648528</c:v>
                </c:pt>
                <c:pt idx="12">
                  <c:v>-16.81204418351348</c:v>
                </c:pt>
                <c:pt idx="13">
                  <c:v>-19.712864888432733</c:v>
                </c:pt>
                <c:pt idx="14">
                  <c:v>-22.811738618980854</c:v>
                </c:pt>
                <c:pt idx="15">
                  <c:v>-26.10572992747646</c:v>
                </c:pt>
                <c:pt idx="16">
                  <c:v>-29.591718538623127</c:v>
                </c:pt>
                <c:pt idx="17">
                  <c:v>-33.266402305229605</c:v>
                </c:pt>
                <c:pt idx="18">
                  <c:v>-37.12630033621102</c:v>
                </c:pt>
                <c:pt idx="19">
                  <c:v>-41.1677562939073</c:v>
                </c:pt>
              </c:numCache>
            </c:numRef>
          </c:yVal>
          <c:smooth val="1"/>
        </c:ser>
        <c:axId val="53278621"/>
        <c:axId val="9745542"/>
      </c:scatterChart>
      <c:valAx>
        <c:axId val="5327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45542"/>
        <c:crosses val="autoZero"/>
        <c:crossBetween val="midCat"/>
        <c:dispUnits/>
      </c:valAx>
      <c:valAx>
        <c:axId val="9745542"/>
        <c:scaling>
          <c:orientation val="minMax"/>
          <c:min val="-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786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CERN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Sheet6!$O$23:$O$42</c:f>
              <c:numCache/>
            </c:numRef>
          </c:xVal>
          <c:yVal>
            <c:numRef>
              <c:f>Sheet6!$P$23:$P$42</c:f>
              <c:numCache/>
            </c:numRef>
          </c:yVal>
          <c:smooth val="1"/>
        </c:ser>
        <c:ser>
          <c:idx val="1"/>
          <c:order val="1"/>
          <c:tx>
            <c:v>your curve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Sheet6!$Q$23:$Q$42</c:f>
              <c:numCache/>
            </c:numRef>
          </c:xVal>
          <c:yVal>
            <c:numRef>
              <c:f>Sheet6!$R$23:$R$42</c:f>
              <c:numCache/>
            </c:numRef>
          </c:yVal>
          <c:smooth val="1"/>
        </c:ser>
        <c:axId val="20601015"/>
        <c:axId val="51191408"/>
      </c:scatterChart>
      <c:valAx>
        <c:axId val="2060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91408"/>
        <c:crosses val="autoZero"/>
        <c:crossBetween val="midCat"/>
        <c:dispUnits/>
      </c:valAx>
      <c:valAx>
        <c:axId val="51191408"/>
        <c:scaling>
          <c:orientation val="minMax"/>
          <c:min val="-8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010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CERN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Sheet7!$O$23:$O$42</c:f>
              <c:numCache/>
            </c:numRef>
          </c:xVal>
          <c:yVal>
            <c:numRef>
              <c:f>Sheet7!$P$23:$P$42</c:f>
              <c:numCache/>
            </c:numRef>
          </c:yVal>
          <c:smooth val="1"/>
        </c:ser>
        <c:ser>
          <c:idx val="1"/>
          <c:order val="1"/>
          <c:tx>
            <c:v>your curve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Sheet7!$Q$23:$Q$42</c:f>
              <c:numCache/>
            </c:numRef>
          </c:xVal>
          <c:yVal>
            <c:numRef>
              <c:f>Sheet7!$R$23:$R$42</c:f>
              <c:numCache/>
            </c:numRef>
          </c:yVal>
          <c:smooth val="1"/>
        </c:ser>
        <c:axId val="58069489"/>
        <c:axId val="52863354"/>
      </c:scatterChart>
      <c:valAx>
        <c:axId val="58069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63354"/>
        <c:crosses val="autoZero"/>
        <c:crossBetween val="midCat"/>
        <c:dispUnits/>
      </c:valAx>
      <c:valAx>
        <c:axId val="52863354"/>
        <c:scaling>
          <c:orientation val="minMax"/>
          <c:min val="-8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694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CERN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Sheet1!$O$23:$O$42</c:f>
              <c:numCache/>
            </c:numRef>
          </c:xVal>
          <c:yVal>
            <c:numRef>
              <c:f>Sheet1!$P$23:$P$42</c:f>
              <c:numCache/>
            </c:numRef>
          </c:yVal>
          <c:smooth val="1"/>
        </c:ser>
        <c:ser>
          <c:idx val="1"/>
          <c:order val="1"/>
          <c:tx>
            <c:v>your curve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Sheet1!$Q$23:$Q$42</c:f>
              <c:numCache/>
            </c:numRef>
          </c:xVal>
          <c:yVal>
            <c:numRef>
              <c:f>Sheet1!$R$23:$R$42</c:f>
              <c:numCache/>
            </c:numRef>
          </c:yVal>
          <c:smooth val="1"/>
        </c:ser>
        <c:axId val="6611789"/>
        <c:axId val="59506102"/>
      </c:scatterChart>
      <c:valAx>
        <c:axId val="6611789"/>
        <c:scaling>
          <c:orientation val="minMax"/>
          <c:max val="175"/>
          <c:min val="25"/>
        </c:scaling>
        <c:axPos val="b"/>
        <c:delete val="0"/>
        <c:numFmt formatCode="General" sourceLinked="1"/>
        <c:majorTickMark val="out"/>
        <c:minorTickMark val="none"/>
        <c:tickLblPos val="nextTo"/>
        <c:crossAx val="59506102"/>
        <c:crosses val="autoZero"/>
        <c:crossBetween val="midCat"/>
        <c:dispUnits/>
      </c:valAx>
      <c:valAx>
        <c:axId val="59506102"/>
        <c:scaling>
          <c:orientation val="minMax"/>
          <c:max val="-10"/>
          <c:min val="-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17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CERN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Sheet2!$O$23:$O$42</c:f>
              <c:numCache/>
            </c:numRef>
          </c:xVal>
          <c:yVal>
            <c:numRef>
              <c:f>Sheet2!$P$23:$P$42</c:f>
              <c:numCache/>
            </c:numRef>
          </c:yVal>
          <c:smooth val="1"/>
        </c:ser>
        <c:ser>
          <c:idx val="1"/>
          <c:order val="1"/>
          <c:tx>
            <c:v>your curve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Sheet2!$Q$23:$Q$42</c:f>
              <c:numCache/>
            </c:numRef>
          </c:xVal>
          <c:yVal>
            <c:numRef>
              <c:f>Sheet2!$R$23:$R$42</c:f>
              <c:numCache/>
            </c:numRef>
          </c:yVal>
          <c:smooth val="1"/>
        </c:ser>
        <c:axId val="65792871"/>
        <c:axId val="55264928"/>
      </c:scatterChart>
      <c:valAx>
        <c:axId val="65792871"/>
        <c:scaling>
          <c:orientation val="minMax"/>
          <c:max val="-20"/>
          <c:min val="-175"/>
        </c:scaling>
        <c:axPos val="b"/>
        <c:delete val="0"/>
        <c:numFmt formatCode="General" sourceLinked="1"/>
        <c:majorTickMark val="out"/>
        <c:minorTickMark val="none"/>
        <c:tickLblPos val="nextTo"/>
        <c:crossAx val="55264928"/>
        <c:crosses val="autoZero"/>
        <c:crossBetween val="midCat"/>
        <c:dispUnits/>
      </c:valAx>
      <c:valAx>
        <c:axId val="55264928"/>
        <c:scaling>
          <c:orientation val="minMax"/>
          <c:max val="10"/>
          <c:min val="-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928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CERN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20"/>
                <c:pt idx="0">
                  <c:v>-39.6991</c:v>
                </c:pt>
                <c:pt idx="1">
                  <c:v>-46.112</c:v>
                </c:pt>
                <c:pt idx="2">
                  <c:v>-71.6424</c:v>
                </c:pt>
                <c:pt idx="3">
                  <c:v>-78.0069</c:v>
                </c:pt>
                <c:pt idx="4">
                  <c:v>-84.3483</c:v>
                </c:pt>
                <c:pt idx="5">
                  <c:v>-90.6602</c:v>
                </c:pt>
                <c:pt idx="6">
                  <c:v>-99.6658</c:v>
                </c:pt>
                <c:pt idx="7">
                  <c:v>-105.9212</c:v>
                </c:pt>
                <c:pt idx="8">
                  <c:v>-112.1322</c:v>
                </c:pt>
                <c:pt idx="9">
                  <c:v>-118.3069</c:v>
                </c:pt>
                <c:pt idx="10">
                  <c:v>-124.4216</c:v>
                </c:pt>
                <c:pt idx="11">
                  <c:v>-130.5007</c:v>
                </c:pt>
                <c:pt idx="12">
                  <c:v>-136.5026</c:v>
                </c:pt>
                <c:pt idx="13">
                  <c:v>-142.4529</c:v>
                </c:pt>
                <c:pt idx="14">
                  <c:v>-148.3273</c:v>
                </c:pt>
                <c:pt idx="15">
                  <c:v>-154.1378</c:v>
                </c:pt>
                <c:pt idx="16">
                  <c:v>-159.8845</c:v>
                </c:pt>
                <c:pt idx="17">
                  <c:v>0</c:v>
                </c:pt>
                <c:pt idx="18">
                  <c:v>0</c:v>
                </c:pt>
                <c:pt idx="19">
                  <c:v>-165.5533</c:v>
                </c:pt>
              </c:strCache>
            </c:strRef>
          </c:xVal>
          <c:yVal>
            <c:numRef>
              <c:f>Sheet1!#REF!</c:f>
              <c:numCache>
                <c:ptCount val="20"/>
                <c:pt idx="0">
                  <c:v>1.7673</c:v>
                </c:pt>
                <c:pt idx="1">
                  <c:v>1.4465</c:v>
                </c:pt>
                <c:pt idx="2">
                  <c:v>-1.7444</c:v>
                </c:pt>
                <c:pt idx="3">
                  <c:v>-2.9562</c:v>
                </c:pt>
                <c:pt idx="4">
                  <c:v>-4.2635</c:v>
                </c:pt>
                <c:pt idx="5">
                  <c:v>-5.8636</c:v>
                </c:pt>
                <c:pt idx="6">
                  <c:v>-8.4286</c:v>
                </c:pt>
                <c:pt idx="7">
                  <c:v>-10.4448</c:v>
                </c:pt>
                <c:pt idx="8">
                  <c:v>-12.6909</c:v>
                </c:pt>
                <c:pt idx="9">
                  <c:v>-15.0751</c:v>
                </c:pt>
                <c:pt idx="10">
                  <c:v>-17.7325</c:v>
                </c:pt>
                <c:pt idx="11">
                  <c:v>-20.446</c:v>
                </c:pt>
                <c:pt idx="12">
                  <c:v>-23.4521</c:v>
                </c:pt>
                <c:pt idx="13">
                  <c:v>-26.5738</c:v>
                </c:pt>
                <c:pt idx="14">
                  <c:v>-29.9367</c:v>
                </c:pt>
                <c:pt idx="15">
                  <c:v>-33.5045</c:v>
                </c:pt>
                <c:pt idx="16">
                  <c:v>-37.2683</c:v>
                </c:pt>
                <c:pt idx="17">
                  <c:v>0</c:v>
                </c:pt>
                <c:pt idx="18">
                  <c:v>0</c:v>
                </c:pt>
                <c:pt idx="19">
                  <c:v>-41.1996</c:v>
                </c:pt>
              </c:numCache>
            </c:numRef>
          </c:yVal>
          <c:smooth val="1"/>
        </c:ser>
        <c:ser>
          <c:idx val="1"/>
          <c:order val="1"/>
          <c:tx>
            <c:v>your curve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Sheet1!#REF!</c:f>
              <c:strCache>
                <c:ptCount val="20"/>
                <c:pt idx="0">
                  <c:v>-39.69826206367879</c:v>
                </c:pt>
                <c:pt idx="1">
                  <c:v>-46.78883537415709</c:v>
                </c:pt>
                <c:pt idx="2">
                  <c:v>-53.864794859981714</c:v>
                </c:pt>
                <c:pt idx="3">
                  <c:v>-60.91943772824436</c:v>
                </c:pt>
                <c:pt idx="4">
                  <c:v>-67.94608137847462</c:v>
                </c:pt>
                <c:pt idx="5">
                  <c:v>-74.9380697328188</c:v>
                </c:pt>
                <c:pt idx="6">
                  <c:v>-81.88877954109417</c:v>
                </c:pt>
                <c:pt idx="7">
                  <c:v>-88.79162665474755</c:v>
                </c:pt>
                <c:pt idx="8">
                  <c:v>-95.64007226377407</c:v>
                </c:pt>
                <c:pt idx="9">
                  <c:v>-102.42762909068794</c:v>
                </c:pt>
                <c:pt idx="10">
                  <c:v>-109.14786753567954</c:v>
                </c:pt>
                <c:pt idx="11">
                  <c:v>-115.79442176713515</c:v>
                </c:pt>
                <c:pt idx="12">
                  <c:v>-122.36099575175271</c:v>
                </c:pt>
                <c:pt idx="13">
                  <c:v>-128.84136921853914</c:v>
                </c:pt>
                <c:pt idx="14">
                  <c:v>-135.22940355104237</c:v>
                </c:pt>
                <c:pt idx="15">
                  <c:v>-141.51904760223277</c:v>
                </c:pt>
                <c:pt idx="16">
                  <c:v>-147.70434342653056</c:v>
                </c:pt>
                <c:pt idx="17">
                  <c:v>-153.7794319235451</c:v>
                </c:pt>
                <c:pt idx="18">
                  <c:v>-159.7385583881828</c:v>
                </c:pt>
                <c:pt idx="19">
                  <c:v>-165.57607796186485</c:v>
                </c:pt>
              </c:strCache>
            </c:strRef>
          </c:xVal>
          <c:yVal>
            <c:numRef>
              <c:f>Sheet1!#REF!</c:f>
              <c:numCache>
                <c:ptCount val="20"/>
                <c:pt idx="0">
                  <c:v>1.7441517289676653</c:v>
                </c:pt>
                <c:pt idx="1">
                  <c:v>1.3784043299979487</c:v>
                </c:pt>
                <c:pt idx="2">
                  <c:v>0.7946249315192233</c:v>
                </c:pt>
                <c:pt idx="3">
                  <c:v>-0.00663347398463543</c:v>
                </c:pt>
                <c:pt idx="4">
                  <c:v>-1.024611884265397</c:v>
                </c:pt>
                <c:pt idx="5">
                  <c:v>-2.258346006285052</c:v>
                </c:pt>
                <c:pt idx="6">
                  <c:v>-3.706667169654679</c:v>
                </c:pt>
                <c:pt idx="7">
                  <c:v>-5.368203433672619</c:v>
                </c:pt>
                <c:pt idx="8">
                  <c:v>-7.2413808869123955</c:v>
                </c:pt>
                <c:pt idx="9">
                  <c:v>-9.32442513813072</c:v>
                </c:pt>
                <c:pt idx="10">
                  <c:v>-11.615362997082087</c:v>
                </c:pt>
                <c:pt idx="11">
                  <c:v>-14.112024343648528</c:v>
                </c:pt>
                <c:pt idx="12">
                  <c:v>-16.81204418351348</c:v>
                </c:pt>
                <c:pt idx="13">
                  <c:v>-19.712864888432733</c:v>
                </c:pt>
                <c:pt idx="14">
                  <c:v>-22.811738618980854</c:v>
                </c:pt>
                <c:pt idx="15">
                  <c:v>-26.10572992747646</c:v>
                </c:pt>
                <c:pt idx="16">
                  <c:v>-29.591718538623127</c:v>
                </c:pt>
                <c:pt idx="17">
                  <c:v>-33.266402305229605</c:v>
                </c:pt>
                <c:pt idx="18">
                  <c:v>-37.12630033621102</c:v>
                </c:pt>
                <c:pt idx="19">
                  <c:v>-41.1677562939073</c:v>
                </c:pt>
              </c:numCache>
            </c:numRef>
          </c:yVal>
          <c:smooth val="1"/>
        </c:ser>
        <c:axId val="27622305"/>
        <c:axId val="47274154"/>
      </c:scatterChart>
      <c:valAx>
        <c:axId val="2762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74154"/>
        <c:crosses val="autoZero"/>
        <c:crossBetween val="midCat"/>
        <c:dispUnits/>
      </c:valAx>
      <c:valAx>
        <c:axId val="47274154"/>
        <c:scaling>
          <c:orientation val="minMax"/>
          <c:min val="-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223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CERN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Sheet3!$O$23:$O$42</c:f>
              <c:numCache/>
            </c:numRef>
          </c:xVal>
          <c:yVal>
            <c:numRef>
              <c:f>Sheet3!$P$23:$P$42</c:f>
              <c:numCache/>
            </c:numRef>
          </c:yVal>
          <c:smooth val="1"/>
        </c:ser>
        <c:ser>
          <c:idx val="1"/>
          <c:order val="1"/>
          <c:tx>
            <c:v>your curve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Sheet3!$Q$23:$Q$42</c:f>
              <c:numCache/>
            </c:numRef>
          </c:xVal>
          <c:yVal>
            <c:numRef>
              <c:f>Sheet3!$R$23:$R$42</c:f>
              <c:numCache/>
            </c:numRef>
          </c:yVal>
          <c:smooth val="1"/>
        </c:ser>
        <c:axId val="22814203"/>
        <c:axId val="4001236"/>
      </c:scatterChart>
      <c:valAx>
        <c:axId val="2281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1236"/>
        <c:crosses val="autoZero"/>
        <c:crossBetween val="midCat"/>
        <c:dispUnits/>
      </c:valAx>
      <c:valAx>
        <c:axId val="4001236"/>
        <c:scaling>
          <c:orientation val="minMax"/>
          <c:min val="-8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142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CERN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20"/>
                <c:pt idx="0">
                  <c:v>-39.6991</c:v>
                </c:pt>
                <c:pt idx="1">
                  <c:v>-46.112</c:v>
                </c:pt>
                <c:pt idx="2">
                  <c:v>-71.6424</c:v>
                </c:pt>
                <c:pt idx="3">
                  <c:v>-78.0069</c:v>
                </c:pt>
                <c:pt idx="4">
                  <c:v>-84.3483</c:v>
                </c:pt>
                <c:pt idx="5">
                  <c:v>-90.6602</c:v>
                </c:pt>
                <c:pt idx="6">
                  <c:v>-99.6658</c:v>
                </c:pt>
                <c:pt idx="7">
                  <c:v>-105.9212</c:v>
                </c:pt>
                <c:pt idx="8">
                  <c:v>-112.1322</c:v>
                </c:pt>
                <c:pt idx="9">
                  <c:v>-118.3069</c:v>
                </c:pt>
                <c:pt idx="10">
                  <c:v>-124.4216</c:v>
                </c:pt>
                <c:pt idx="11">
                  <c:v>-130.5007</c:v>
                </c:pt>
                <c:pt idx="12">
                  <c:v>-136.5026</c:v>
                </c:pt>
                <c:pt idx="13">
                  <c:v>-142.4529</c:v>
                </c:pt>
                <c:pt idx="14">
                  <c:v>-148.3273</c:v>
                </c:pt>
                <c:pt idx="15">
                  <c:v>-154.1378</c:v>
                </c:pt>
                <c:pt idx="16">
                  <c:v>-159.8845</c:v>
                </c:pt>
                <c:pt idx="17">
                  <c:v>0</c:v>
                </c:pt>
                <c:pt idx="18">
                  <c:v>0</c:v>
                </c:pt>
                <c:pt idx="19">
                  <c:v>-165.5533</c:v>
                </c:pt>
              </c:strCache>
            </c:strRef>
          </c:xVal>
          <c:yVal>
            <c:numRef>
              <c:f>Sheet1!#REF!</c:f>
              <c:numCache>
                <c:ptCount val="20"/>
                <c:pt idx="0">
                  <c:v>1.7673</c:v>
                </c:pt>
                <c:pt idx="1">
                  <c:v>1.4465</c:v>
                </c:pt>
                <c:pt idx="2">
                  <c:v>-1.7444</c:v>
                </c:pt>
                <c:pt idx="3">
                  <c:v>-2.9562</c:v>
                </c:pt>
                <c:pt idx="4">
                  <c:v>-4.2635</c:v>
                </c:pt>
                <c:pt idx="5">
                  <c:v>-5.8636</c:v>
                </c:pt>
                <c:pt idx="6">
                  <c:v>-8.4286</c:v>
                </c:pt>
                <c:pt idx="7">
                  <c:v>-10.4448</c:v>
                </c:pt>
                <c:pt idx="8">
                  <c:v>-12.6909</c:v>
                </c:pt>
                <c:pt idx="9">
                  <c:v>-15.0751</c:v>
                </c:pt>
                <c:pt idx="10">
                  <c:v>-17.7325</c:v>
                </c:pt>
                <c:pt idx="11">
                  <c:v>-20.446</c:v>
                </c:pt>
                <c:pt idx="12">
                  <c:v>-23.4521</c:v>
                </c:pt>
                <c:pt idx="13">
                  <c:v>-26.5738</c:v>
                </c:pt>
                <c:pt idx="14">
                  <c:v>-29.9367</c:v>
                </c:pt>
                <c:pt idx="15">
                  <c:v>-33.5045</c:v>
                </c:pt>
                <c:pt idx="16">
                  <c:v>-37.2683</c:v>
                </c:pt>
                <c:pt idx="17">
                  <c:v>0</c:v>
                </c:pt>
                <c:pt idx="18">
                  <c:v>0</c:v>
                </c:pt>
                <c:pt idx="19">
                  <c:v>-41.1996</c:v>
                </c:pt>
              </c:numCache>
            </c:numRef>
          </c:yVal>
          <c:smooth val="1"/>
        </c:ser>
        <c:ser>
          <c:idx val="1"/>
          <c:order val="1"/>
          <c:tx>
            <c:v>your curve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Sheet1!#REF!</c:f>
              <c:strCache>
                <c:ptCount val="20"/>
                <c:pt idx="0">
                  <c:v>-39.69826206367879</c:v>
                </c:pt>
                <c:pt idx="1">
                  <c:v>-46.78883537415709</c:v>
                </c:pt>
                <c:pt idx="2">
                  <c:v>-53.864794859981714</c:v>
                </c:pt>
                <c:pt idx="3">
                  <c:v>-60.91943772824436</c:v>
                </c:pt>
                <c:pt idx="4">
                  <c:v>-67.94608137847462</c:v>
                </c:pt>
                <c:pt idx="5">
                  <c:v>-74.9380697328188</c:v>
                </c:pt>
                <c:pt idx="6">
                  <c:v>-81.88877954109417</c:v>
                </c:pt>
                <c:pt idx="7">
                  <c:v>-88.79162665474755</c:v>
                </c:pt>
                <c:pt idx="8">
                  <c:v>-95.64007226377407</c:v>
                </c:pt>
                <c:pt idx="9">
                  <c:v>-102.42762909068794</c:v>
                </c:pt>
                <c:pt idx="10">
                  <c:v>-109.14786753567954</c:v>
                </c:pt>
                <c:pt idx="11">
                  <c:v>-115.79442176713515</c:v>
                </c:pt>
                <c:pt idx="12">
                  <c:v>-122.36099575175271</c:v>
                </c:pt>
                <c:pt idx="13">
                  <c:v>-128.84136921853914</c:v>
                </c:pt>
                <c:pt idx="14">
                  <c:v>-135.22940355104237</c:v>
                </c:pt>
                <c:pt idx="15">
                  <c:v>-141.51904760223277</c:v>
                </c:pt>
                <c:pt idx="16">
                  <c:v>-147.70434342653056</c:v>
                </c:pt>
                <c:pt idx="17">
                  <c:v>-153.7794319235451</c:v>
                </c:pt>
                <c:pt idx="18">
                  <c:v>-159.7385583881828</c:v>
                </c:pt>
                <c:pt idx="19">
                  <c:v>-165.57607796186485</c:v>
                </c:pt>
              </c:strCache>
            </c:strRef>
          </c:xVal>
          <c:yVal>
            <c:numRef>
              <c:f>Sheet1!#REF!</c:f>
              <c:numCache>
                <c:ptCount val="20"/>
                <c:pt idx="0">
                  <c:v>1.7441517289676653</c:v>
                </c:pt>
                <c:pt idx="1">
                  <c:v>1.3784043299979487</c:v>
                </c:pt>
                <c:pt idx="2">
                  <c:v>0.7946249315192233</c:v>
                </c:pt>
                <c:pt idx="3">
                  <c:v>-0.00663347398463543</c:v>
                </c:pt>
                <c:pt idx="4">
                  <c:v>-1.024611884265397</c:v>
                </c:pt>
                <c:pt idx="5">
                  <c:v>-2.258346006285052</c:v>
                </c:pt>
                <c:pt idx="6">
                  <c:v>-3.706667169654679</c:v>
                </c:pt>
                <c:pt idx="7">
                  <c:v>-5.368203433672619</c:v>
                </c:pt>
                <c:pt idx="8">
                  <c:v>-7.2413808869123955</c:v>
                </c:pt>
                <c:pt idx="9">
                  <c:v>-9.32442513813072</c:v>
                </c:pt>
                <c:pt idx="10">
                  <c:v>-11.615362997082087</c:v>
                </c:pt>
                <c:pt idx="11">
                  <c:v>-14.112024343648528</c:v>
                </c:pt>
                <c:pt idx="12">
                  <c:v>-16.81204418351348</c:v>
                </c:pt>
                <c:pt idx="13">
                  <c:v>-19.712864888432733</c:v>
                </c:pt>
                <c:pt idx="14">
                  <c:v>-22.811738618980854</c:v>
                </c:pt>
                <c:pt idx="15">
                  <c:v>-26.10572992747646</c:v>
                </c:pt>
                <c:pt idx="16">
                  <c:v>-29.591718538623127</c:v>
                </c:pt>
                <c:pt idx="17">
                  <c:v>-33.266402305229605</c:v>
                </c:pt>
                <c:pt idx="18">
                  <c:v>-37.12630033621102</c:v>
                </c:pt>
                <c:pt idx="19">
                  <c:v>-41.1677562939073</c:v>
                </c:pt>
              </c:numCache>
            </c:numRef>
          </c:yVal>
          <c:smooth val="1"/>
        </c:ser>
        <c:axId val="36011125"/>
        <c:axId val="55664670"/>
      </c:scatterChart>
      <c:valAx>
        <c:axId val="3601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64670"/>
        <c:crosses val="autoZero"/>
        <c:crossBetween val="midCat"/>
        <c:dispUnits/>
      </c:valAx>
      <c:valAx>
        <c:axId val="55664670"/>
        <c:scaling>
          <c:orientation val="minMax"/>
          <c:min val="-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111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CERN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Sheet4!$O$29:$O$48</c:f>
              <c:numCache/>
            </c:numRef>
          </c:xVal>
          <c:yVal>
            <c:numRef>
              <c:f>Sheet4!$P$29:$P$48</c:f>
              <c:numCache/>
            </c:numRef>
          </c:yVal>
          <c:smooth val="1"/>
        </c:ser>
        <c:ser>
          <c:idx val="1"/>
          <c:order val="1"/>
          <c:tx>
            <c:v>your curve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Sheet4!$Q$29:$Q$48</c:f>
              <c:numCache/>
            </c:numRef>
          </c:xVal>
          <c:yVal>
            <c:numRef>
              <c:f>Sheet4!$R$29:$R$48</c:f>
              <c:numCache/>
            </c:numRef>
          </c:yVal>
          <c:smooth val="1"/>
        </c:ser>
        <c:axId val="31219983"/>
        <c:axId val="12544392"/>
      </c:scatterChart>
      <c:valAx>
        <c:axId val="31219983"/>
        <c:scaling>
          <c:orientation val="minMax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crossAx val="12544392"/>
        <c:crosses val="autoZero"/>
        <c:crossBetween val="midCat"/>
        <c:dispUnits/>
      </c:valAx>
      <c:valAx>
        <c:axId val="12544392"/>
        <c:scaling>
          <c:orientation val="minMax"/>
          <c:min val="-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199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CERN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20"/>
                <c:pt idx="0">
                  <c:v>-39.6991</c:v>
                </c:pt>
                <c:pt idx="1">
                  <c:v>-46.112</c:v>
                </c:pt>
                <c:pt idx="2">
                  <c:v>-71.6424</c:v>
                </c:pt>
                <c:pt idx="3">
                  <c:v>-78.0069</c:v>
                </c:pt>
                <c:pt idx="4">
                  <c:v>-84.3483</c:v>
                </c:pt>
                <c:pt idx="5">
                  <c:v>-90.6602</c:v>
                </c:pt>
                <c:pt idx="6">
                  <c:v>-99.6658</c:v>
                </c:pt>
                <c:pt idx="7">
                  <c:v>-105.9212</c:v>
                </c:pt>
                <c:pt idx="8">
                  <c:v>-112.1322</c:v>
                </c:pt>
                <c:pt idx="9">
                  <c:v>-118.3069</c:v>
                </c:pt>
                <c:pt idx="10">
                  <c:v>-124.4216</c:v>
                </c:pt>
                <c:pt idx="11">
                  <c:v>-130.5007</c:v>
                </c:pt>
                <c:pt idx="12">
                  <c:v>-136.5026</c:v>
                </c:pt>
                <c:pt idx="13">
                  <c:v>-142.4529</c:v>
                </c:pt>
                <c:pt idx="14">
                  <c:v>-148.3273</c:v>
                </c:pt>
                <c:pt idx="15">
                  <c:v>-154.1378</c:v>
                </c:pt>
                <c:pt idx="16">
                  <c:v>-159.8845</c:v>
                </c:pt>
                <c:pt idx="17">
                  <c:v>0</c:v>
                </c:pt>
                <c:pt idx="18">
                  <c:v>0</c:v>
                </c:pt>
                <c:pt idx="19">
                  <c:v>-165.5533</c:v>
                </c:pt>
              </c:strCache>
            </c:strRef>
          </c:xVal>
          <c:yVal>
            <c:numRef>
              <c:f>Sheet1!#REF!</c:f>
              <c:numCache>
                <c:ptCount val="20"/>
                <c:pt idx="0">
                  <c:v>1.7673</c:v>
                </c:pt>
                <c:pt idx="1">
                  <c:v>1.4465</c:v>
                </c:pt>
                <c:pt idx="2">
                  <c:v>-1.7444</c:v>
                </c:pt>
                <c:pt idx="3">
                  <c:v>-2.9562</c:v>
                </c:pt>
                <c:pt idx="4">
                  <c:v>-4.2635</c:v>
                </c:pt>
                <c:pt idx="5">
                  <c:v>-5.8636</c:v>
                </c:pt>
                <c:pt idx="6">
                  <c:v>-8.4286</c:v>
                </c:pt>
                <c:pt idx="7">
                  <c:v>-10.4448</c:v>
                </c:pt>
                <c:pt idx="8">
                  <c:v>-12.6909</c:v>
                </c:pt>
                <c:pt idx="9">
                  <c:v>-15.0751</c:v>
                </c:pt>
                <c:pt idx="10">
                  <c:v>-17.7325</c:v>
                </c:pt>
                <c:pt idx="11">
                  <c:v>-20.446</c:v>
                </c:pt>
                <c:pt idx="12">
                  <c:v>-23.4521</c:v>
                </c:pt>
                <c:pt idx="13">
                  <c:v>-26.5738</c:v>
                </c:pt>
                <c:pt idx="14">
                  <c:v>-29.9367</c:v>
                </c:pt>
                <c:pt idx="15">
                  <c:v>-33.5045</c:v>
                </c:pt>
                <c:pt idx="16">
                  <c:v>-37.2683</c:v>
                </c:pt>
                <c:pt idx="17">
                  <c:v>0</c:v>
                </c:pt>
                <c:pt idx="18">
                  <c:v>0</c:v>
                </c:pt>
                <c:pt idx="19">
                  <c:v>-41.1996</c:v>
                </c:pt>
              </c:numCache>
            </c:numRef>
          </c:yVal>
          <c:smooth val="1"/>
        </c:ser>
        <c:ser>
          <c:idx val="1"/>
          <c:order val="1"/>
          <c:tx>
            <c:v>your curve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Sheet1!#REF!</c:f>
              <c:strCache>
                <c:ptCount val="20"/>
                <c:pt idx="0">
                  <c:v>-39.69826206367879</c:v>
                </c:pt>
                <c:pt idx="1">
                  <c:v>-46.78883537415709</c:v>
                </c:pt>
                <c:pt idx="2">
                  <c:v>-53.864794859981714</c:v>
                </c:pt>
                <c:pt idx="3">
                  <c:v>-60.91943772824436</c:v>
                </c:pt>
                <c:pt idx="4">
                  <c:v>-67.94608137847462</c:v>
                </c:pt>
                <c:pt idx="5">
                  <c:v>-74.9380697328188</c:v>
                </c:pt>
                <c:pt idx="6">
                  <c:v>-81.88877954109417</c:v>
                </c:pt>
                <c:pt idx="7">
                  <c:v>-88.79162665474755</c:v>
                </c:pt>
                <c:pt idx="8">
                  <c:v>-95.64007226377407</c:v>
                </c:pt>
                <c:pt idx="9">
                  <c:v>-102.42762909068794</c:v>
                </c:pt>
                <c:pt idx="10">
                  <c:v>-109.14786753567954</c:v>
                </c:pt>
                <c:pt idx="11">
                  <c:v>-115.79442176713515</c:v>
                </c:pt>
                <c:pt idx="12">
                  <c:v>-122.36099575175271</c:v>
                </c:pt>
                <c:pt idx="13">
                  <c:v>-128.84136921853914</c:v>
                </c:pt>
                <c:pt idx="14">
                  <c:v>-135.22940355104237</c:v>
                </c:pt>
                <c:pt idx="15">
                  <c:v>-141.51904760223277</c:v>
                </c:pt>
                <c:pt idx="16">
                  <c:v>-147.70434342653056</c:v>
                </c:pt>
                <c:pt idx="17">
                  <c:v>-153.7794319235451</c:v>
                </c:pt>
                <c:pt idx="18">
                  <c:v>-159.7385583881828</c:v>
                </c:pt>
                <c:pt idx="19">
                  <c:v>-165.57607796186485</c:v>
                </c:pt>
              </c:strCache>
            </c:strRef>
          </c:xVal>
          <c:yVal>
            <c:numRef>
              <c:f>Sheet1!#REF!</c:f>
              <c:numCache>
                <c:ptCount val="20"/>
                <c:pt idx="0">
                  <c:v>1.7441517289676653</c:v>
                </c:pt>
                <c:pt idx="1">
                  <c:v>1.3784043299979487</c:v>
                </c:pt>
                <c:pt idx="2">
                  <c:v>0.7946249315192233</c:v>
                </c:pt>
                <c:pt idx="3">
                  <c:v>-0.00663347398463543</c:v>
                </c:pt>
                <c:pt idx="4">
                  <c:v>-1.024611884265397</c:v>
                </c:pt>
                <c:pt idx="5">
                  <c:v>-2.258346006285052</c:v>
                </c:pt>
                <c:pt idx="6">
                  <c:v>-3.706667169654679</c:v>
                </c:pt>
                <c:pt idx="7">
                  <c:v>-5.368203433672619</c:v>
                </c:pt>
                <c:pt idx="8">
                  <c:v>-7.2413808869123955</c:v>
                </c:pt>
                <c:pt idx="9">
                  <c:v>-9.32442513813072</c:v>
                </c:pt>
                <c:pt idx="10">
                  <c:v>-11.615362997082087</c:v>
                </c:pt>
                <c:pt idx="11">
                  <c:v>-14.112024343648528</c:v>
                </c:pt>
                <c:pt idx="12">
                  <c:v>-16.81204418351348</c:v>
                </c:pt>
                <c:pt idx="13">
                  <c:v>-19.712864888432733</c:v>
                </c:pt>
                <c:pt idx="14">
                  <c:v>-22.811738618980854</c:v>
                </c:pt>
                <c:pt idx="15">
                  <c:v>-26.10572992747646</c:v>
                </c:pt>
                <c:pt idx="16">
                  <c:v>-29.591718538623127</c:v>
                </c:pt>
                <c:pt idx="17">
                  <c:v>-33.266402305229605</c:v>
                </c:pt>
                <c:pt idx="18">
                  <c:v>-37.12630033621102</c:v>
                </c:pt>
                <c:pt idx="19">
                  <c:v>-41.1677562939073</c:v>
                </c:pt>
              </c:numCache>
            </c:numRef>
          </c:yVal>
          <c:smooth val="1"/>
        </c:ser>
        <c:axId val="45790665"/>
        <c:axId val="9462802"/>
      </c:scatterChart>
      <c:valAx>
        <c:axId val="4579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62802"/>
        <c:crosses val="autoZero"/>
        <c:crossBetween val="midCat"/>
        <c:dispUnits/>
      </c:valAx>
      <c:valAx>
        <c:axId val="9462802"/>
        <c:scaling>
          <c:orientation val="minMax"/>
          <c:min val="-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906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CERN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Sheet5!$O$23:$O$42</c:f>
              <c:numCache/>
            </c:numRef>
          </c:xVal>
          <c:yVal>
            <c:numRef>
              <c:f>Sheet5!$P$23:$P$42</c:f>
              <c:numCache/>
            </c:numRef>
          </c:yVal>
          <c:smooth val="1"/>
        </c:ser>
        <c:ser>
          <c:idx val="1"/>
          <c:order val="1"/>
          <c:tx>
            <c:v>your curve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Sheet5!$Q$23:$Q$42</c:f>
              <c:numCache/>
            </c:numRef>
          </c:xVal>
          <c:yVal>
            <c:numRef>
              <c:f>Sheet5!$R$23:$R$42</c:f>
              <c:numCache/>
            </c:numRef>
          </c:yVal>
          <c:smooth val="1"/>
        </c:ser>
        <c:axId val="18056355"/>
        <c:axId val="28289468"/>
      </c:scatterChart>
      <c:valAx>
        <c:axId val="18056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89468"/>
        <c:crosses val="autoZero"/>
        <c:crossBetween val="midCat"/>
        <c:dispUnits/>
      </c:valAx>
      <c:valAx>
        <c:axId val="28289468"/>
        <c:scaling>
          <c:orientation val="minMax"/>
          <c:min val="-8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563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38100</xdr:rowOff>
    </xdr:from>
    <xdr:to>
      <xdr:col>0</xdr:col>
      <xdr:colOff>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1571625"/>
        <a:ext cx="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9</xdr:row>
      <xdr:rowOff>85725</xdr:rowOff>
    </xdr:from>
    <xdr:to>
      <xdr:col>24</xdr:col>
      <xdr:colOff>152400</xdr:colOff>
      <xdr:row>19</xdr:row>
      <xdr:rowOff>152400</xdr:rowOff>
    </xdr:to>
    <xdr:graphicFrame>
      <xdr:nvGraphicFramePr>
        <xdr:cNvPr id="2" name="Chart 2"/>
        <xdr:cNvGraphicFramePr/>
      </xdr:nvGraphicFramePr>
      <xdr:xfrm>
        <a:off x="7143750" y="1619250"/>
        <a:ext cx="8039100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9</xdr:row>
      <xdr:rowOff>0</xdr:rowOff>
    </xdr:from>
    <xdr:to>
      <xdr:col>24</xdr:col>
      <xdr:colOff>142875</xdr:colOff>
      <xdr:row>21</xdr:row>
      <xdr:rowOff>38100</xdr:rowOff>
    </xdr:to>
    <xdr:graphicFrame>
      <xdr:nvGraphicFramePr>
        <xdr:cNvPr id="1" name="Chart 5"/>
        <xdr:cNvGraphicFramePr/>
      </xdr:nvGraphicFramePr>
      <xdr:xfrm>
        <a:off x="7315200" y="1533525"/>
        <a:ext cx="765810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38100</xdr:rowOff>
    </xdr:from>
    <xdr:to>
      <xdr:col>0</xdr:col>
      <xdr:colOff>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1571625"/>
        <a:ext cx="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9</xdr:row>
      <xdr:rowOff>85725</xdr:rowOff>
    </xdr:from>
    <xdr:to>
      <xdr:col>24</xdr:col>
      <xdr:colOff>152400</xdr:colOff>
      <xdr:row>19</xdr:row>
      <xdr:rowOff>152400</xdr:rowOff>
    </xdr:to>
    <xdr:graphicFrame>
      <xdr:nvGraphicFramePr>
        <xdr:cNvPr id="2" name="Chart 3"/>
        <xdr:cNvGraphicFramePr/>
      </xdr:nvGraphicFramePr>
      <xdr:xfrm>
        <a:off x="7324725" y="1619250"/>
        <a:ext cx="766762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38100</xdr:rowOff>
    </xdr:from>
    <xdr:to>
      <xdr:col>0</xdr:col>
      <xdr:colOff>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1571625"/>
        <a:ext cx="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285750</xdr:colOff>
      <xdr:row>9</xdr:row>
      <xdr:rowOff>85725</xdr:rowOff>
    </xdr:from>
    <xdr:to>
      <xdr:col>21</xdr:col>
      <xdr:colOff>333375</xdr:colOff>
      <xdr:row>26</xdr:row>
      <xdr:rowOff>85725</xdr:rowOff>
    </xdr:to>
    <xdr:graphicFrame>
      <xdr:nvGraphicFramePr>
        <xdr:cNvPr id="2" name="Chart 2"/>
        <xdr:cNvGraphicFramePr/>
      </xdr:nvGraphicFramePr>
      <xdr:xfrm>
        <a:off x="8210550" y="1619250"/>
        <a:ext cx="49244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38100</xdr:rowOff>
    </xdr:from>
    <xdr:to>
      <xdr:col>0</xdr:col>
      <xdr:colOff>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1571625"/>
        <a:ext cx="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9</xdr:row>
      <xdr:rowOff>85725</xdr:rowOff>
    </xdr:from>
    <xdr:to>
      <xdr:col>24</xdr:col>
      <xdr:colOff>152400</xdr:colOff>
      <xdr:row>19</xdr:row>
      <xdr:rowOff>152400</xdr:rowOff>
    </xdr:to>
    <xdr:graphicFrame>
      <xdr:nvGraphicFramePr>
        <xdr:cNvPr id="2" name="Chart 2"/>
        <xdr:cNvGraphicFramePr/>
      </xdr:nvGraphicFramePr>
      <xdr:xfrm>
        <a:off x="7324725" y="1619250"/>
        <a:ext cx="762952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38100</xdr:rowOff>
    </xdr:from>
    <xdr:to>
      <xdr:col>0</xdr:col>
      <xdr:colOff>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1571625"/>
        <a:ext cx="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9</xdr:row>
      <xdr:rowOff>85725</xdr:rowOff>
    </xdr:from>
    <xdr:to>
      <xdr:col>24</xdr:col>
      <xdr:colOff>152400</xdr:colOff>
      <xdr:row>19</xdr:row>
      <xdr:rowOff>152400</xdr:rowOff>
    </xdr:to>
    <xdr:graphicFrame>
      <xdr:nvGraphicFramePr>
        <xdr:cNvPr id="2" name="Chart 2"/>
        <xdr:cNvGraphicFramePr/>
      </xdr:nvGraphicFramePr>
      <xdr:xfrm>
        <a:off x="7324725" y="1619250"/>
        <a:ext cx="7686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9</xdr:row>
      <xdr:rowOff>85725</xdr:rowOff>
    </xdr:from>
    <xdr:to>
      <xdr:col>24</xdr:col>
      <xdr:colOff>152400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7381875" y="1619250"/>
        <a:ext cx="760095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workbookViewId="0" topLeftCell="A1">
      <selection activeCell="B3" sqref="B3:C3"/>
    </sheetView>
  </sheetViews>
  <sheetFormatPr defaultColWidth="9.140625" defaultRowHeight="12.75"/>
  <cols>
    <col min="1" max="1" width="4.28125" style="0" customWidth="1"/>
    <col min="2" max="9" width="9.28125" style="0" bestFit="1" customWidth="1"/>
    <col min="11" max="11" width="10.00390625" style="0" customWidth="1"/>
    <col min="12" max="12" width="9.28125" style="0" bestFit="1" customWidth="1"/>
    <col min="14" max="14" width="9.57421875" style="0" customWidth="1"/>
    <col min="15" max="15" width="9.421875" style="0" customWidth="1"/>
    <col min="16" max="16" width="9.7109375" style="0" customWidth="1"/>
    <col min="17" max="17" width="9.57421875" style="0" customWidth="1"/>
    <col min="18" max="18" width="9.7109375" style="0" customWidth="1"/>
    <col min="19" max="19" width="10.7109375" style="0" customWidth="1"/>
    <col min="20" max="20" width="9.421875" style="0" customWidth="1"/>
    <col min="21" max="21" width="10.57421875" style="0" customWidth="1"/>
    <col min="22" max="22" width="12.28125" style="0" customWidth="1"/>
    <col min="23" max="23" width="9.28125" style="0" bestFit="1" customWidth="1"/>
    <col min="24" max="24" width="9.00390625" style="0" customWidth="1"/>
    <col min="25" max="25" width="9.28125" style="0" bestFit="1" customWidth="1"/>
    <col min="26" max="26" width="7.8515625" style="0" customWidth="1"/>
    <col min="27" max="27" width="4.140625" style="0" customWidth="1"/>
    <col min="28" max="28" width="12.421875" style="0" bestFit="1" customWidth="1"/>
    <col min="29" max="29" width="12.57421875" style="0" bestFit="1" customWidth="1"/>
    <col min="30" max="30" width="3.7109375" style="0" customWidth="1"/>
    <col min="31" max="31" width="4.28125" style="0" customWidth="1"/>
  </cols>
  <sheetData>
    <row r="1" spans="1:21" ht="13.5" thickBot="1">
      <c r="A1" t="s">
        <v>105</v>
      </c>
      <c r="B1">
        <v>3.14159265</v>
      </c>
      <c r="E1" t="s">
        <v>103</v>
      </c>
      <c r="I1" t="s">
        <v>104</v>
      </c>
      <c r="N1" s="1" t="s">
        <v>41</v>
      </c>
      <c r="O1">
        <v>1000</v>
      </c>
      <c r="P1">
        <v>100</v>
      </c>
      <c r="Q1">
        <v>10</v>
      </c>
      <c r="R1">
        <v>1</v>
      </c>
      <c r="S1">
        <v>0.1</v>
      </c>
      <c r="T1">
        <v>0.01</v>
      </c>
      <c r="U1">
        <v>0.001</v>
      </c>
    </row>
    <row r="2" spans="6:22" ht="14.25" thickBot="1" thickTop="1">
      <c r="F2" t="s">
        <v>6</v>
      </c>
      <c r="G2">
        <f>(E30-$E$11)/(C30-C11)</f>
        <v>-0.26190521280641865</v>
      </c>
      <c r="J2" s="1" t="s">
        <v>8</v>
      </c>
      <c r="K2">
        <f>-1/G2</f>
        <v>3.8181752447177426</v>
      </c>
      <c r="N2" s="2">
        <v>1</v>
      </c>
      <c r="O2" s="2">
        <v>0</v>
      </c>
      <c r="P2" s="2">
        <v>6</v>
      </c>
      <c r="Q2" s="2">
        <v>8</v>
      </c>
      <c r="R2" s="2">
        <v>3</v>
      </c>
      <c r="S2" s="2">
        <v>8</v>
      </c>
      <c r="T2" s="2">
        <v>3</v>
      </c>
      <c r="U2" s="2">
        <v>4</v>
      </c>
      <c r="V2" t="s">
        <v>37</v>
      </c>
    </row>
    <row r="3" spans="2:22" ht="14.25" thickBot="1" thickTop="1">
      <c r="B3" t="s">
        <v>16</v>
      </c>
      <c r="C3" s="3">
        <f>SUM(A11:A30)</f>
        <v>15</v>
      </c>
      <c r="F3" t="s">
        <v>7</v>
      </c>
      <c r="G3">
        <f>E11-C11*G2</f>
        <v>-5.239335615346619</v>
      </c>
      <c r="J3" t="s">
        <v>102</v>
      </c>
      <c r="K3">
        <f>-K2*($C$30+$C$11)/2+($E$30+$E$11)/2</f>
        <v>-415.48122541825717</v>
      </c>
      <c r="N3" s="2">
        <v>-1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1</v>
      </c>
      <c r="V3" t="s">
        <v>18</v>
      </c>
    </row>
    <row r="4" spans="5:22" ht="14.25" thickBot="1" thickTop="1">
      <c r="E4" t="s">
        <v>22</v>
      </c>
      <c r="G4">
        <f>SQRT((C30-C11)^2+(E30-E11)^2)</f>
        <v>131.00460292573692</v>
      </c>
      <c r="N4" s="2">
        <v>-1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2</v>
      </c>
      <c r="V4" t="s">
        <v>17</v>
      </c>
    </row>
    <row r="5" spans="4:10" ht="13.5" thickTop="1">
      <c r="D5">
        <f>(E14-G3)/G2-C14</f>
        <v>6.12141284734254</v>
      </c>
      <c r="I5">
        <f>($W$30-$W$29)/(ABS($W$30-$W$29)+0.00000000000000000001)</f>
        <v>1</v>
      </c>
      <c r="J5" t="s">
        <v>72</v>
      </c>
    </row>
    <row r="6" spans="4:22" ht="12.75">
      <c r="D6">
        <f>G2*C14+G3-E14</f>
        <v>1.6032299344591934</v>
      </c>
      <c r="I6">
        <f>$W$25/(ABS(-$W$25)+0.00000000000000000001)</f>
        <v>1</v>
      </c>
      <c r="J6" t="s">
        <v>70</v>
      </c>
      <c r="P6" t="s">
        <v>39</v>
      </c>
      <c r="Q6">
        <f>($C$30+$C$11)/2+$G$7*SQRT($Q$8^2*$G$2^2/(1+$G$2^2))+$V$7</f>
        <v>273.0058914540512</v>
      </c>
      <c r="U6" t="s">
        <v>95</v>
      </c>
      <c r="V6">
        <f>MAX($G$4/2,N2*(1000*O2+100*P2+10*Q2+R2+0.1*S2+0.01*T2+0.001*U2))</f>
        <v>683.834</v>
      </c>
    </row>
    <row r="7" spans="6:22" ht="12.75">
      <c r="F7" t="s">
        <v>20</v>
      </c>
      <c r="G7">
        <f>((E14-G3)/G2-C14)/(0.00000000000000000001+ABS((E14-G3)/G2-C14))</f>
        <v>1</v>
      </c>
      <c r="I7">
        <f>-($C$11-$W$25)/(ABS($C$11-$W$25)+0.00000000000000000001)</f>
        <v>1</v>
      </c>
      <c r="J7" t="s">
        <v>71</v>
      </c>
      <c r="P7" t="s">
        <v>40</v>
      </c>
      <c r="Q7">
        <f>($E$30+$E$11)/2+$G$8*SQRT($Q$8^2/(1+$G$2^2))+$V$8</f>
        <v>626.9049291689449</v>
      </c>
      <c r="U7" t="s">
        <v>42</v>
      </c>
      <c r="V7">
        <f>N3*(1000*O3+100*P3+10*Q3+R3+0.1*S3+0.01*T3+0.001*U3)</f>
        <v>-0.001</v>
      </c>
    </row>
    <row r="8" spans="6:22" ht="12.75">
      <c r="F8" t="s">
        <v>21</v>
      </c>
      <c r="G8">
        <f>(G2*C14+G3-E14)/(0.00000000000000000001+ABS(G2*C14+G3-E14))</f>
        <v>1</v>
      </c>
      <c r="I8">
        <f>-($C$30-$W$25)/(ABS($C$30-$W$25)+0.00000000000000000001)</f>
        <v>1</v>
      </c>
      <c r="J8" t="s">
        <v>69</v>
      </c>
      <c r="O8" t="s">
        <v>38</v>
      </c>
      <c r="Q8">
        <f>SQRT(W24^2-(G4/2)^2)</f>
        <v>680.6896415100405</v>
      </c>
      <c r="U8" t="s">
        <v>43</v>
      </c>
      <c r="V8">
        <f>N4*(1000*O4+100*P4+10*Q4+R4+0.1*S4+0.01*T4+0.001*U4)</f>
        <v>-0.002</v>
      </c>
    </row>
    <row r="9" spans="21:22" ht="12.75">
      <c r="U9" s="5" t="s">
        <v>44</v>
      </c>
      <c r="V9" s="7">
        <f>K32</f>
        <v>0.6208529121873032</v>
      </c>
    </row>
    <row r="10" spans="1:10" ht="12.75">
      <c r="A10" t="s">
        <v>48</v>
      </c>
      <c r="B10" t="s">
        <v>4</v>
      </c>
      <c r="C10" t="s">
        <v>2</v>
      </c>
      <c r="D10" t="s">
        <v>5</v>
      </c>
      <c r="E10" t="s">
        <v>3</v>
      </c>
      <c r="F10" t="s">
        <v>27</v>
      </c>
      <c r="G10" t="s">
        <v>29</v>
      </c>
      <c r="H10" t="s">
        <v>28</v>
      </c>
      <c r="I10" t="s">
        <v>10</v>
      </c>
      <c r="J10" t="s">
        <v>45</v>
      </c>
    </row>
    <row r="11" spans="1:11" ht="12.75">
      <c r="A11">
        <v>1</v>
      </c>
      <c r="B11" t="s">
        <v>49</v>
      </c>
      <c r="C11">
        <v>37.1824</v>
      </c>
      <c r="D11" s="4">
        <v>0.022</v>
      </c>
      <c r="E11">
        <v>-14.9776</v>
      </c>
      <c r="F11" s="4">
        <v>0.0089</v>
      </c>
      <c r="G11">
        <v>17.9278</v>
      </c>
      <c r="H11" s="4">
        <v>0.0614</v>
      </c>
      <c r="I11">
        <f aca="true" t="shared" si="0" ref="I11:I30">(D11^2+F11^2)</f>
        <v>0.00056321</v>
      </c>
      <c r="K11">
        <f>$A11*(($V$6-SQRT(($C11-$Q$6)^2+($E11-$Q$7)^2))^2)/($I11+0.00000000000000000001)</f>
        <v>0.008767648449928377</v>
      </c>
    </row>
    <row r="12" spans="1:11" ht="12.75">
      <c r="A12">
        <v>1</v>
      </c>
      <c r="B12">
        <v>2</v>
      </c>
      <c r="C12">
        <v>43.1876</v>
      </c>
      <c r="D12" s="4">
        <v>0.0219</v>
      </c>
      <c r="E12">
        <v>-17.169</v>
      </c>
      <c r="F12" s="4">
        <v>0.0087</v>
      </c>
      <c r="G12">
        <v>20.7131</v>
      </c>
      <c r="H12" s="4">
        <v>0.0587</v>
      </c>
      <c r="I12">
        <f t="shared" si="0"/>
        <v>0.0005553</v>
      </c>
      <c r="K12">
        <f>$A12*(($V$6-SQRT(($C12-$Q$6)^2+($E12-$Q$7)^2))^2)/($I12+0.00000000000000000001)</f>
        <v>0.3378721830410522</v>
      </c>
    </row>
    <row r="13" spans="1:11" ht="12.75">
      <c r="A13">
        <v>1</v>
      </c>
      <c r="B13">
        <v>3</v>
      </c>
      <c r="C13">
        <v>49.2219</v>
      </c>
      <c r="D13" s="4">
        <v>0.0439</v>
      </c>
      <c r="E13">
        <v>-19.2825</v>
      </c>
      <c r="F13" s="4">
        <v>0.0172</v>
      </c>
      <c r="G13">
        <v>23.2667</v>
      </c>
      <c r="H13" s="4">
        <v>0.064</v>
      </c>
      <c r="I13">
        <f t="shared" si="0"/>
        <v>0.0022230500000000003</v>
      </c>
      <c r="K13">
        <f>$A13*(($V$6-SQRT(($C13-$Q$6)^2+($E13-$Q$7)^2))^2)/($I13+0.00000000000000000001)</f>
        <v>0.01749325285221578</v>
      </c>
    </row>
    <row r="14" spans="1:11" ht="12.75">
      <c r="A14">
        <v>1</v>
      </c>
      <c r="B14">
        <v>4</v>
      </c>
      <c r="C14">
        <v>55.2812</v>
      </c>
      <c r="D14" s="4">
        <v>0.0219</v>
      </c>
      <c r="E14">
        <v>-21.321</v>
      </c>
      <c r="F14" s="4">
        <v>0.0085</v>
      </c>
      <c r="G14">
        <v>26.137</v>
      </c>
      <c r="H14" s="4">
        <v>0.0612</v>
      </c>
      <c r="I14">
        <f t="shared" si="0"/>
        <v>0.00055186</v>
      </c>
      <c r="K14">
        <f>$A14*(($V$6-SQRT(($C14-$Q$6)^2+($E14-$Q$7)^2))^2)/($I14+0.00000000000000000001)</f>
        <v>0.7618560601785859</v>
      </c>
    </row>
    <row r="15" spans="1:11" ht="12.75">
      <c r="A15">
        <v>1</v>
      </c>
      <c r="B15">
        <v>5</v>
      </c>
      <c r="C15">
        <v>61.3434</v>
      </c>
      <c r="D15" s="4">
        <v>0.0219</v>
      </c>
      <c r="E15">
        <f>-23.3449</f>
        <v>-23.3449</v>
      </c>
      <c r="F15" s="4">
        <v>0.0083</v>
      </c>
      <c r="G15">
        <v>28.9833</v>
      </c>
      <c r="H15" s="4">
        <v>0.0619</v>
      </c>
      <c r="I15">
        <f t="shared" si="0"/>
        <v>0.0005484999999999999</v>
      </c>
      <c r="K15">
        <f>$A15*(($V$6-SQRT(($C15-$Q$6)^2+($E15-$Q$7)^2))^2)/($I15+0.00000000000000000001)</f>
        <v>0.009299946930164857</v>
      </c>
    </row>
    <row r="16" spans="1:11" ht="12.75">
      <c r="A16">
        <v>1</v>
      </c>
      <c r="B16">
        <v>6</v>
      </c>
      <c r="C16">
        <v>67.4299</v>
      </c>
      <c r="D16" s="4">
        <v>0.0219</v>
      </c>
      <c r="E16">
        <v>-25.3005</v>
      </c>
      <c r="F16" s="4">
        <v>0.0082</v>
      </c>
      <c r="G16">
        <v>31.7816</v>
      </c>
      <c r="H16" s="4">
        <v>0.0591</v>
      </c>
      <c r="I16">
        <f t="shared" si="0"/>
        <v>0.00054685</v>
      </c>
      <c r="K16">
        <f>$A16*(($V$6-SQRT(($C16-$Q$6)^2+($E16-$Q$7)^2))^2)/($I16+0.00000000000000000001)</f>
        <v>0.019538401857576358</v>
      </c>
    </row>
    <row r="17" spans="1:11" ht="12.75">
      <c r="A17">
        <v>1</v>
      </c>
      <c r="B17">
        <v>7</v>
      </c>
      <c r="C17">
        <v>79.7015</v>
      </c>
      <c r="D17" s="4">
        <v>0.022</v>
      </c>
      <c r="E17">
        <v>-29.0215</v>
      </c>
      <c r="F17" s="4">
        <v>0.008</v>
      </c>
      <c r="G17">
        <v>37.2541</v>
      </c>
      <c r="H17" s="4">
        <v>0.0589</v>
      </c>
      <c r="I17">
        <f t="shared" si="0"/>
        <v>0.000548</v>
      </c>
      <c r="K17">
        <f>$A17*(($V$6-SQRT(($C17-$Q$6)^2+($E17-$Q$7)^2))^2)/($I17+0.00000000000000000001)</f>
        <v>0.5103299835040415</v>
      </c>
    </row>
    <row r="18" spans="1:11" ht="12.75">
      <c r="A18">
        <v>1</v>
      </c>
      <c r="B18">
        <v>8</v>
      </c>
      <c r="C18">
        <v>85.8634</v>
      </c>
      <c r="D18" s="4">
        <v>0.022</v>
      </c>
      <c r="E18">
        <v>-30.8154</v>
      </c>
      <c r="F18" s="4">
        <v>0.0079</v>
      </c>
      <c r="G18">
        <v>39.9591</v>
      </c>
      <c r="H18" s="4">
        <v>0.0642</v>
      </c>
      <c r="I18">
        <f t="shared" si="0"/>
        <v>0.00054641</v>
      </c>
      <c r="K18">
        <f>$A18*(($V$6-SQRT(($C18-$Q$6)^2+($E18-$Q$7)^2))^2)/($I18+0.00000000000000000001)</f>
        <v>0.10985317208201184</v>
      </c>
    </row>
    <row r="19" spans="1:11" ht="12.75">
      <c r="A19">
        <v>1</v>
      </c>
      <c r="B19">
        <v>9</v>
      </c>
      <c r="C19">
        <v>94.6973</v>
      </c>
      <c r="D19" s="4">
        <v>0.0221</v>
      </c>
      <c r="E19">
        <v>-33.2552</v>
      </c>
      <c r="F19" s="4">
        <v>0.0078</v>
      </c>
      <c r="G19">
        <v>44.0131</v>
      </c>
      <c r="H19" s="4">
        <v>0.0633</v>
      </c>
      <c r="I19">
        <f t="shared" si="0"/>
        <v>0.00054925</v>
      </c>
      <c r="K19">
        <f>$A19*(($V$6-SQRT(($C19-$Q$6)^2+($E19-$Q$7)^2))^2)/($I19+0.00000000000000000001)</f>
        <v>0.5416535614173159</v>
      </c>
    </row>
    <row r="20" spans="1:11" ht="12.75">
      <c r="A20">
        <v>1</v>
      </c>
      <c r="B20">
        <v>10</v>
      </c>
      <c r="C20">
        <v>100.9139</v>
      </c>
      <c r="D20" s="4">
        <v>0.0222</v>
      </c>
      <c r="E20">
        <v>-34.8984</v>
      </c>
      <c r="F20" s="4">
        <v>0.0077</v>
      </c>
      <c r="G20">
        <v>46.7021</v>
      </c>
      <c r="H20" s="4">
        <v>0.058</v>
      </c>
      <c r="I20">
        <f t="shared" si="0"/>
        <v>0.0005521300000000001</v>
      </c>
      <c r="K20">
        <f>$A20*(($V$6-SQRT(($C20-$Q$6)^2+($E20-$Q$7)^2))^2)/($I20+0.00000000000000000001)</f>
        <v>0.8506556638432032</v>
      </c>
    </row>
    <row r="21" spans="1:11" ht="12.75">
      <c r="A21">
        <v>1</v>
      </c>
      <c r="B21">
        <v>11</v>
      </c>
      <c r="C21">
        <v>113.3701</v>
      </c>
      <c r="D21" s="4">
        <v>0.0224</v>
      </c>
      <c r="E21">
        <v>-38.0763</v>
      </c>
      <c r="F21" s="4">
        <v>0.0075</v>
      </c>
      <c r="G21">
        <v>52.254</v>
      </c>
      <c r="H21" s="4">
        <v>0.0635</v>
      </c>
      <c r="I21">
        <f t="shared" si="0"/>
        <v>0.00055801</v>
      </c>
      <c r="K21">
        <f>$A21*(($V$6-SQRT(($C21-$Q$6)^2+($E21-$Q$7)^2))^2)/($I21+0.00000000000000000001)</f>
        <v>2.8645219980559062</v>
      </c>
    </row>
    <row r="22" spans="1:18" ht="12.75">
      <c r="A22">
        <v>1</v>
      </c>
      <c r="B22">
        <v>12</v>
      </c>
      <c r="C22">
        <v>119.6333</v>
      </c>
      <c r="D22" s="4">
        <v>0.0225</v>
      </c>
      <c r="E22">
        <v>-39.5315</v>
      </c>
      <c r="F22" s="4">
        <v>0.0074</v>
      </c>
      <c r="G22">
        <v>54.9813</v>
      </c>
      <c r="H22" s="4">
        <v>0.0606</v>
      </c>
      <c r="I22">
        <f t="shared" si="0"/>
        <v>0.00056101</v>
      </c>
      <c r="K22">
        <f>$A22*(($V$6-SQRT(($C22-$Q$6)^2+($E22-$Q$7)^2))^2)/($I22+0.00000000000000000001)</f>
        <v>0.95916704609825</v>
      </c>
      <c r="Q22" t="s">
        <v>25</v>
      </c>
      <c r="R22" t="s">
        <v>26</v>
      </c>
    </row>
    <row r="23" spans="1:22" ht="12.75">
      <c r="A23">
        <v>1</v>
      </c>
      <c r="B23">
        <v>13</v>
      </c>
      <c r="C23">
        <v>125.9182</v>
      </c>
      <c r="D23" s="4">
        <v>0.0226</v>
      </c>
      <c r="E23">
        <v>-40.9092</v>
      </c>
      <c r="F23" s="4">
        <v>0.0074</v>
      </c>
      <c r="G23">
        <v>57.7502</v>
      </c>
      <c r="H23" s="4">
        <v>0.0561</v>
      </c>
      <c r="I23">
        <f t="shared" si="0"/>
        <v>0.00056552</v>
      </c>
      <c r="K23">
        <f>$A23*(($V$6-SQRT(($C23-$Q$6)^2+($E23-$Q$7)^2))^2)/($I23+0.00000000000000000001)</f>
        <v>0.3214368540596614</v>
      </c>
      <c r="M23">
        <f>$A11</f>
        <v>1</v>
      </c>
      <c r="N23">
        <v>1</v>
      </c>
      <c r="O23">
        <f aca="true" t="shared" si="1" ref="O23:O42">$M23*C11</f>
        <v>37.1824</v>
      </c>
      <c r="P23">
        <f aca="true" t="shared" si="2" ref="P23:P42">$M23*E11</f>
        <v>-14.9776</v>
      </c>
      <c r="Q23">
        <f>$W$25+$V$6*COS(($W$29+($N23-1)*($W$30-$W$29)/19)*$B$1/180)</f>
        <v>37.18163136805845</v>
      </c>
      <c r="R23">
        <f>$W$26+$V$6*SIN(($W$29+($N23-1)*($W$30-$W$29)/19)*$B$1/180)</f>
        <v>-14.97968500317711</v>
      </c>
      <c r="V23" t="s">
        <v>68</v>
      </c>
    </row>
    <row r="24" spans="1:23" ht="12.75">
      <c r="A24">
        <v>1</v>
      </c>
      <c r="B24">
        <v>14</v>
      </c>
      <c r="C24">
        <v>138.513</v>
      </c>
      <c r="D24" s="4">
        <v>0.023</v>
      </c>
      <c r="E24">
        <v>-43.6077</v>
      </c>
      <c r="F24" s="4">
        <v>0.0072</v>
      </c>
      <c r="G24">
        <v>63.1896</v>
      </c>
      <c r="H24" s="4">
        <v>0.0572</v>
      </c>
      <c r="I24">
        <f t="shared" si="0"/>
        <v>0.00058084</v>
      </c>
      <c r="K24">
        <f>$A24*(($V$6-SQRT(($C24-$Q$6)^2+($E24-$Q$7)^2))^2)/($I24+0.00000000000000000001)</f>
        <v>1.997272022305671</v>
      </c>
      <c r="M24">
        <f aca="true" t="shared" si="3" ref="M24:M42">$A12</f>
        <v>1</v>
      </c>
      <c r="N24">
        <v>2</v>
      </c>
      <c r="O24">
        <f t="shared" si="1"/>
        <v>43.1876</v>
      </c>
      <c r="P24">
        <f t="shared" si="2"/>
        <v>-17.169</v>
      </c>
      <c r="Q24">
        <f>$W$25+$V$6*COS(($W$29+($N24-1)*($W$30-$W$29)/19)*$B$1/180)</f>
        <v>43.675514822251586</v>
      </c>
      <c r="R24">
        <f>$W$26+$V$6*SIN(($W$29+($N24-1)*($W$30-$W$29)/19)*$B$1/180)</f>
        <v>-17.32834993879942</v>
      </c>
      <c r="V24" t="s">
        <v>23</v>
      </c>
      <c r="W24">
        <f>V6</f>
        <v>683.834</v>
      </c>
    </row>
    <row r="25" spans="1:23" ht="12.75">
      <c r="A25">
        <v>0</v>
      </c>
      <c r="B25">
        <v>15</v>
      </c>
      <c r="C25">
        <v>0</v>
      </c>
      <c r="D25" s="4">
        <v>0</v>
      </c>
      <c r="E25">
        <v>0</v>
      </c>
      <c r="F25" s="4">
        <v>0</v>
      </c>
      <c r="G25" s="4">
        <v>0</v>
      </c>
      <c r="H25" s="4">
        <v>0</v>
      </c>
      <c r="I25">
        <f t="shared" si="0"/>
        <v>0</v>
      </c>
      <c r="K25">
        <f>$A25*(($V$6-SQRT(($C25-$Q$6)^2+($E25-$Q$7)^2))^2)/($I25+0.00000000000000000001)</f>
        <v>0</v>
      </c>
      <c r="M25">
        <f t="shared" si="3"/>
        <v>1</v>
      </c>
      <c r="N25">
        <v>3</v>
      </c>
      <c r="O25">
        <f t="shared" si="1"/>
        <v>49.2219</v>
      </c>
      <c r="P25">
        <f t="shared" si="2"/>
        <v>-19.2825</v>
      </c>
      <c r="Q25">
        <f>$W$25+$V$6*COS(($W$29+($N25-1)*($W$30-$W$29)/19)*$B$1/180)</f>
        <v>50.19278438293102</v>
      </c>
      <c r="R25">
        <f>$W$26+$V$6*SIN(($W$29+($N25-1)*($W$30-$W$29)/19)*$B$1/180)</f>
        <v>-19.61131878876381</v>
      </c>
      <c r="V25" t="s">
        <v>35</v>
      </c>
      <c r="W25">
        <f>$Q$6</f>
        <v>273.0058914540512</v>
      </c>
    </row>
    <row r="26" spans="1:23" ht="12.75">
      <c r="A26">
        <v>0</v>
      </c>
      <c r="B26">
        <v>16</v>
      </c>
      <c r="C26">
        <v>0</v>
      </c>
      <c r="D26">
        <v>0</v>
      </c>
      <c r="E26">
        <v>0</v>
      </c>
      <c r="F26">
        <v>0</v>
      </c>
      <c r="G26" s="4">
        <v>0</v>
      </c>
      <c r="H26" s="4">
        <v>0</v>
      </c>
      <c r="I26">
        <f t="shared" si="0"/>
        <v>0</v>
      </c>
      <c r="K26">
        <f>$A26*(($V$6-SQRT(($C26-$Q$6)^2+($E26-$Q$7)^2))^2)/($I26+0.00000000000000000001)</f>
        <v>0</v>
      </c>
      <c r="M26">
        <f t="shared" si="3"/>
        <v>1</v>
      </c>
      <c r="N26">
        <v>4</v>
      </c>
      <c r="O26">
        <f t="shared" si="1"/>
        <v>55.2812</v>
      </c>
      <c r="P26">
        <f t="shared" si="2"/>
        <v>-21.321</v>
      </c>
      <c r="Q26">
        <f>$W$25+$V$6*COS(($W$29+($N26-1)*($W$30-$W$29)/19)*$B$1/180)</f>
        <v>56.732775447516815</v>
      </c>
      <c r="R26">
        <f>$W$26+$V$6*SIN(($W$29+($N26-1)*($W$30-$W$29)/19)*$B$1/180)</f>
        <v>-21.82835874591467</v>
      </c>
      <c r="V26" t="s">
        <v>36</v>
      </c>
      <c r="W26">
        <f>$Q$7</f>
        <v>626.9049291689449</v>
      </c>
    </row>
    <row r="27" spans="1:18" ht="12.75">
      <c r="A27">
        <v>0</v>
      </c>
      <c r="B27">
        <v>17</v>
      </c>
      <c r="C27">
        <v>0</v>
      </c>
      <c r="D27">
        <v>0</v>
      </c>
      <c r="E27">
        <v>0</v>
      </c>
      <c r="F27">
        <v>0</v>
      </c>
      <c r="G27" s="4">
        <v>0</v>
      </c>
      <c r="H27" s="4">
        <v>0</v>
      </c>
      <c r="I27">
        <f t="shared" si="0"/>
        <v>0</v>
      </c>
      <c r="K27">
        <f>$A27*(($V$6-SQRT(($C27-$Q$6)^2+($E27-$Q$7)^2))^2)/($I27+0.00000000000000000001)</f>
        <v>0</v>
      </c>
      <c r="M27">
        <f t="shared" si="3"/>
        <v>1</v>
      </c>
      <c r="N27">
        <v>5</v>
      </c>
      <c r="O27">
        <f t="shared" si="1"/>
        <v>61.3434</v>
      </c>
      <c r="P27">
        <f t="shared" si="2"/>
        <v>-23.3449</v>
      </c>
      <c r="Q27">
        <f>$W$25+$V$6*COS(($W$29+($N27-1)*($W$30-$W$29)/19)*$B$1/180)</f>
        <v>63.29482109638985</v>
      </c>
      <c r="R27">
        <f>$W$26+$V$6*SIN(($W$29+($N27-1)*($W$30-$W$29)/19)*$B$1/180)</f>
        <v>-23.979243726236064</v>
      </c>
    </row>
    <row r="28" spans="1:23" ht="12.75">
      <c r="A28">
        <v>0</v>
      </c>
      <c r="B28">
        <v>18</v>
      </c>
      <c r="C28">
        <v>0</v>
      </c>
      <c r="D28">
        <v>0</v>
      </c>
      <c r="E28">
        <v>0</v>
      </c>
      <c r="F28">
        <v>0</v>
      </c>
      <c r="G28" s="4">
        <v>0</v>
      </c>
      <c r="H28" s="4">
        <v>0</v>
      </c>
      <c r="I28">
        <f t="shared" si="0"/>
        <v>0</v>
      </c>
      <c r="K28">
        <f>$A28*(($V$6-SQRT(($C28-$Q$6)^2+($E28-$Q$7)^2))^2)/($I28+0.00000000000000000001)</f>
        <v>0</v>
      </c>
      <c r="M28">
        <f t="shared" si="3"/>
        <v>1</v>
      </c>
      <c r="N28">
        <v>6</v>
      </c>
      <c r="O28">
        <f t="shared" si="1"/>
        <v>67.4299</v>
      </c>
      <c r="P28">
        <f t="shared" si="2"/>
        <v>-25.3005</v>
      </c>
      <c r="Q28">
        <f>$W$25+$V$6*COS(($W$29+($N28-1)*($W$30-$W$29)/19)*$B$1/180)</f>
        <v>69.87825216090098</v>
      </c>
      <c r="R28">
        <f>$W$26+$V$6*SIN(($W$29+($N28-1)*($W$30-$W$29)/19)*$B$1/180)</f>
        <v>-26.063754391906855</v>
      </c>
      <c r="V28" t="s">
        <v>30</v>
      </c>
      <c r="W28">
        <f>180/B1*ATAN(ABS((W30-W29))*B1/180*W24/(G30-G11))</f>
        <v>66.74989886026376</v>
      </c>
    </row>
    <row r="29" spans="1:23" ht="12.75">
      <c r="A29">
        <v>0</v>
      </c>
      <c r="B29">
        <v>19</v>
      </c>
      <c r="C29">
        <v>0</v>
      </c>
      <c r="D29">
        <v>0</v>
      </c>
      <c r="E29">
        <v>0</v>
      </c>
      <c r="F29">
        <v>0</v>
      </c>
      <c r="G29" s="4">
        <v>0</v>
      </c>
      <c r="H29" s="4">
        <v>0</v>
      </c>
      <c r="I29">
        <f t="shared" si="0"/>
        <v>0</v>
      </c>
      <c r="K29">
        <f>$A29*(($V$6-SQRT(($C29-$Q$6)^2+($E29-$Q$7)^2))^2)/($I29+0.00000000000000000001)</f>
        <v>0</v>
      </c>
      <c r="M29">
        <f t="shared" si="3"/>
        <v>1</v>
      </c>
      <c r="N29">
        <v>7</v>
      </c>
      <c r="O29">
        <f t="shared" si="1"/>
        <v>79.7015</v>
      </c>
      <c r="P29">
        <f t="shared" si="2"/>
        <v>-29.0215</v>
      </c>
      <c r="Q29">
        <f>$W$25+$V$6*COS(($W$29+($N29-1)*($W$30-$W$29)/19)*$B$1/180)</f>
        <v>76.48239729161037</v>
      </c>
      <c r="R29">
        <f>$W$26+$V$6*SIN(($W$29+($N29-1)*($W$30-$W$29)/19)*$B$1/180)</f>
        <v>-28.081678173667115</v>
      </c>
      <c r="V29" t="s">
        <v>24</v>
      </c>
      <c r="W29">
        <f>90*(1+$I$7)+ATAN(($E$11-$W$26)/($C$11-$W$25))*180/$B$1</f>
        <v>249.82699436863595</v>
      </c>
    </row>
    <row r="30" spans="1:23" ht="12.75">
      <c r="A30">
        <v>1</v>
      </c>
      <c r="B30" t="s">
        <v>50</v>
      </c>
      <c r="C30">
        <v>163.9126</v>
      </c>
      <c r="D30" s="4">
        <v>0.0369</v>
      </c>
      <c r="E30">
        <v>-48.1689</v>
      </c>
      <c r="F30" s="4">
        <v>0.0109</v>
      </c>
      <c r="G30">
        <v>74.2987</v>
      </c>
      <c r="H30" s="4">
        <v>0.0668</v>
      </c>
      <c r="I30">
        <f t="shared" si="0"/>
        <v>0.00148042</v>
      </c>
      <c r="K30">
        <f>$A30*(($V$6-SQRT(($C30-$Q$6)^2+($E30-$Q$7)^2))^2)/($I30+0.00000000000000000001)</f>
        <v>0.003075888133963486</v>
      </c>
      <c r="M30">
        <f t="shared" si="3"/>
        <v>1</v>
      </c>
      <c r="N30">
        <v>8</v>
      </c>
      <c r="O30">
        <f t="shared" si="1"/>
        <v>85.8634</v>
      </c>
      <c r="P30">
        <f t="shared" si="2"/>
        <v>-30.8154</v>
      </c>
      <c r="Q30">
        <f>$W$25+$V$6*COS(($W$29+($N30-1)*($W$30-$W$29)/19)*$B$1/180)</f>
        <v>83.1065830267477</v>
      </c>
      <c r="R30">
        <f>$W$26+$V$6*SIN(($W$29+($N30-1)*($W$30-$W$29)/19)*$B$1/180)</f>
        <v>-30.032809292495358</v>
      </c>
      <c r="V30" t="s">
        <v>31</v>
      </c>
      <c r="W30">
        <f>90*(1+$I$8)+ATAN(($E$30-$W$26)/($C$30-$W$25))*180/$B$1</f>
        <v>260.82024801365327</v>
      </c>
    </row>
    <row r="31" spans="11:23" ht="12.75">
      <c r="K31" t="s">
        <v>19</v>
      </c>
      <c r="M31">
        <f t="shared" si="3"/>
        <v>1</v>
      </c>
      <c r="N31">
        <v>9</v>
      </c>
      <c r="O31">
        <f t="shared" si="1"/>
        <v>94.6973</v>
      </c>
      <c r="P31">
        <f t="shared" si="2"/>
        <v>-33.2552</v>
      </c>
      <c r="Q31">
        <f>$W$25+$V$6*COS(($W$29+($N31-1)*($W$30-$W$29)/19)*$B$1/180)</f>
        <v>89.7501338608916</v>
      </c>
      <c r="R31">
        <f>$W$26+$V$6*SIN(($W$29+($N31-1)*($W$30-$W$29)/19)*$B$1/180)</f>
        <v>-31.916948780593884</v>
      </c>
      <c r="V31" t="s">
        <v>32</v>
      </c>
      <c r="W31">
        <f>90*(1+$I$6)+ATAN((-$W$26)/(-$W$25))*180/$B$1</f>
        <v>246.467735548639</v>
      </c>
    </row>
    <row r="32" spans="10:23" ht="12.75">
      <c r="J32" t="s">
        <v>46</v>
      </c>
      <c r="K32">
        <f>SUM(K11:K30)/$C$3</f>
        <v>0.6208529121873032</v>
      </c>
      <c r="M32">
        <f t="shared" si="3"/>
        <v>1</v>
      </c>
      <c r="N32">
        <v>10</v>
      </c>
      <c r="O32">
        <f t="shared" si="1"/>
        <v>100.9139</v>
      </c>
      <c r="P32">
        <f t="shared" si="2"/>
        <v>-34.8984</v>
      </c>
      <c r="Q32">
        <f>$W$25+$V$6*COS(($W$29+($N32-1)*($W$30-$W$29)/19)*$B$1/180)</f>
        <v>96.41237231385085</v>
      </c>
      <c r="R32">
        <f>$W$26+$V$6*SIN(($W$29+($N32-1)*($W$30-$W$29)/19)*$B$1/180)</f>
        <v>-33.73390450167699</v>
      </c>
      <c r="V32" t="s">
        <v>33</v>
      </c>
      <c r="W32">
        <f>W24-SQRT(W26^2+W25^2)</f>
        <v>0.06356558144375413</v>
      </c>
    </row>
    <row r="33" spans="13:23" ht="12.75">
      <c r="M33">
        <f t="shared" si="3"/>
        <v>1</v>
      </c>
      <c r="N33">
        <v>11</v>
      </c>
      <c r="O33">
        <f t="shared" si="1"/>
        <v>113.3701</v>
      </c>
      <c r="P33">
        <f t="shared" si="2"/>
        <v>-38.0763</v>
      </c>
      <c r="Q33">
        <f>$W$25+$V$6*COS(($W$29+($N33-1)*($W$30-$W$29)/19)*$B$1/180)</f>
        <v>103.09261899975357</v>
      </c>
      <c r="R33">
        <f>$W$26+$V$6*SIN(($W$29+($N33-1)*($W$30-$W$29)/19)*$B$1/180)</f>
        <v>-35.48349117056523</v>
      </c>
      <c r="V33" t="s">
        <v>11</v>
      </c>
      <c r="W33">
        <f>1.5*W24/100*0.299792458</f>
        <v>3.0751241358595798</v>
      </c>
    </row>
    <row r="34" spans="13:23" ht="12.75">
      <c r="M34">
        <f t="shared" si="3"/>
        <v>1</v>
      </c>
      <c r="N34">
        <v>12</v>
      </c>
      <c r="O34">
        <f t="shared" si="1"/>
        <v>119.6333</v>
      </c>
      <c r="P34">
        <f t="shared" si="2"/>
        <v>-39.5315</v>
      </c>
      <c r="Q34">
        <f>$W$25+$V$6*COS(($W$29+($N34-1)*($W$30-$W$29)/19)*$B$1/180)</f>
        <v>109.79019269632713</v>
      </c>
      <c r="R34">
        <f>$W$26+$V$6*SIN(($W$29+($N34-1)*($W$30-$W$29)/19)*$B$1/180)</f>
        <v>-37.16553037207984</v>
      </c>
      <c r="V34" t="s">
        <v>0</v>
      </c>
      <c r="W34">
        <f>-$I$5*SIN(W31*$B$1/180)*W33</f>
        <v>2.8193826151643244</v>
      </c>
    </row>
    <row r="35" spans="13:23" ht="12.75">
      <c r="M35">
        <f t="shared" si="3"/>
        <v>1</v>
      </c>
      <c r="N35">
        <v>13</v>
      </c>
      <c r="O35">
        <f t="shared" si="1"/>
        <v>125.9182</v>
      </c>
      <c r="P35">
        <f t="shared" si="2"/>
        <v>-40.9092</v>
      </c>
      <c r="Q35">
        <f>$W$25+$V$6*COS(($W$29+($N35-1)*($W$30-$W$29)/19)*$B$1/180)</f>
        <v>116.50441041436625</v>
      </c>
      <c r="R35">
        <f>$W$26+$V$6*SIN(($W$29+($N35-1)*($W$30-$W$29)/19)*$B$1/180)</f>
        <v>-38.77985057923661</v>
      </c>
      <c r="V35" t="s">
        <v>1</v>
      </c>
      <c r="W35">
        <f>$I$5*COS(W31*$B$1/180)*W33</f>
        <v>-1.2277907477478822</v>
      </c>
    </row>
    <row r="36" spans="13:23" ht="12.75">
      <c r="M36">
        <f t="shared" si="3"/>
        <v>1</v>
      </c>
      <c r="N36">
        <v>14</v>
      </c>
      <c r="O36">
        <f t="shared" si="1"/>
        <v>138.513</v>
      </c>
      <c r="P36">
        <f t="shared" si="2"/>
        <v>-43.6077</v>
      </c>
      <c r="Q36">
        <f>$W$25+$V$6*COS(($W$29+($N36-1)*($W$30-$W$29)/19)*$B$1/180)</f>
        <v>123.23458746738143</v>
      </c>
      <c r="R36">
        <f>$W$26+$V$6*SIN(($W$29+($N36-1)*($W$30-$W$29)/19)*$B$1/180)</f>
        <v>-40.32628717073783</v>
      </c>
      <c r="V36" t="s">
        <v>12</v>
      </c>
      <c r="W36">
        <f>W33/TAN($W$28*$B$1/180)</f>
        <v>1.3211840289310577</v>
      </c>
    </row>
    <row r="37" spans="13:23" ht="12.75">
      <c r="M37">
        <f t="shared" si="3"/>
        <v>0</v>
      </c>
      <c r="N37">
        <v>15</v>
      </c>
      <c r="O37">
        <f t="shared" si="1"/>
        <v>0</v>
      </c>
      <c r="P37">
        <f t="shared" si="2"/>
        <v>0</v>
      </c>
      <c r="Q37">
        <f>$W$25+$V$6*COS(($W$29+($N37-1)*($W$30-$W$29)/19)*$B$1/180)</f>
        <v>129.9800375414201</v>
      </c>
      <c r="R37">
        <f>$W$26+$V$6*SIN(($W$29+($N37-1)*($W$30-$W$29)/19)*$B$1/180)</f>
        <v>-41.80468244775864</v>
      </c>
      <c r="V37" t="s">
        <v>13</v>
      </c>
      <c r="W37">
        <f>SQRT($W$34^2+$W$35^2+$W$36^2)</f>
        <v>3.3469263047232802</v>
      </c>
    </row>
    <row r="38" spans="13:23" ht="12.75">
      <c r="M38">
        <f t="shared" si="3"/>
        <v>0</v>
      </c>
      <c r="N38">
        <v>16</v>
      </c>
      <c r="O38">
        <f t="shared" si="1"/>
        <v>0</v>
      </c>
      <c r="P38">
        <f t="shared" si="2"/>
        <v>0</v>
      </c>
      <c r="Q38">
        <f>$W$25+$V$6*COS(($W$29+($N38-1)*($W$30-$W$29)/19)*$B$1/180)</f>
        <v>136.74007276505387</v>
      </c>
      <c r="R38">
        <f>$W$26+$V$6*SIN(($W$29+($N38-1)*($W$30-$W$29)/19)*$B$1/180)</f>
        <v>-43.214885650030055</v>
      </c>
      <c r="V38" t="s">
        <v>15</v>
      </c>
      <c r="W38">
        <v>0.4934</v>
      </c>
    </row>
    <row r="39" spans="13:23" ht="12.75">
      <c r="M39">
        <f t="shared" si="3"/>
        <v>0</v>
      </c>
      <c r="N39">
        <v>17</v>
      </c>
      <c r="O39">
        <f t="shared" si="1"/>
        <v>0</v>
      </c>
      <c r="P39">
        <f t="shared" si="2"/>
        <v>0</v>
      </c>
      <c r="Q39">
        <f>$W$25+$V$6*COS(($W$29+($N39-1)*($W$30-$W$29)/19)*$B$1/180)</f>
        <v>143.5140037795243</v>
      </c>
      <c r="R39">
        <f>$W$26+$V$6*SIN(($W$29+($N39-1)*($W$30-$W$29)/19)*$B$1/180)</f>
        <v>-44.55675297121081</v>
      </c>
      <c r="V39" t="s">
        <v>14</v>
      </c>
      <c r="W39">
        <f>W38^2+W37^2</f>
        <v>11.44535924924863</v>
      </c>
    </row>
    <row r="40" spans="13:23" ht="12.75">
      <c r="M40">
        <f t="shared" si="3"/>
        <v>0</v>
      </c>
      <c r="N40">
        <v>18</v>
      </c>
      <c r="O40">
        <f t="shared" si="1"/>
        <v>0</v>
      </c>
      <c r="P40">
        <f t="shared" si="2"/>
        <v>0</v>
      </c>
      <c r="Q40">
        <f>$W$25+$V$6*COS(($W$29+($N40-1)*($W$30-$W$29)/19)*$B$1/180)</f>
        <v>150.30113980904275</v>
      </c>
      <c r="R40">
        <f>$W$26+$V$6*SIN(($W$29+($N40-1)*($W$30-$W$29)/19)*$B$1/180)</f>
        <v>-45.830147573554655</v>
      </c>
      <c r="V40" t="s">
        <v>34</v>
      </c>
      <c r="W40">
        <f>SQRT(W39)</f>
        <v>3.3830990599225186</v>
      </c>
    </row>
    <row r="41" spans="13:18" ht="12.75">
      <c r="M41">
        <f t="shared" si="3"/>
        <v>0</v>
      </c>
      <c r="N41">
        <v>19</v>
      </c>
      <c r="O41">
        <f t="shared" si="1"/>
        <v>0</v>
      </c>
      <c r="P41">
        <f t="shared" si="2"/>
        <v>0</v>
      </c>
      <c r="Q41">
        <f>$W$25+$V$6*COS(($W$29+($N41-1)*($W$30-$W$29)/19)*$B$1/180)</f>
        <v>157.1007887312294</v>
      </c>
      <c r="R41">
        <f>$W$26+$V$6*SIN(($W$29+($N41-1)*($W$30-$W$29)/19)*$B$1/180)</f>
        <v>-47.03493960186165</v>
      </c>
    </row>
    <row r="42" spans="13:18" ht="12.75">
      <c r="M42">
        <f t="shared" si="3"/>
        <v>1</v>
      </c>
      <c r="N42">
        <v>20</v>
      </c>
      <c r="O42">
        <f t="shared" si="1"/>
        <v>163.9126</v>
      </c>
      <c r="P42">
        <f t="shared" si="2"/>
        <v>-48.1689</v>
      </c>
      <c r="Q42">
        <f>$W$25+$V$6*COS(($W$29+($N42-1)*($W$30-$W$29)/19)*$B$1/180)</f>
        <v>163.91225714769485</v>
      </c>
      <c r="R42">
        <f>$W$26+$V$6*SIN(($W$29+($N42-1)*($W$30-$W$29)/19)*$B$1/180)</f>
        <v>-48.1710061967226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workbookViewId="0" topLeftCell="A1">
      <selection activeCell="B3" sqref="B3:C3"/>
    </sheetView>
  </sheetViews>
  <sheetFormatPr defaultColWidth="9.140625" defaultRowHeight="12.75"/>
  <cols>
    <col min="22" max="22" width="12.140625" style="0" customWidth="1"/>
  </cols>
  <sheetData>
    <row r="1" spans="1:21" ht="13.5" thickBot="1">
      <c r="A1" t="s">
        <v>47</v>
      </c>
      <c r="B1">
        <v>3.14159265</v>
      </c>
      <c r="E1" t="s">
        <v>9</v>
      </c>
      <c r="I1" t="s">
        <v>104</v>
      </c>
      <c r="N1" s="1" t="s">
        <v>41</v>
      </c>
      <c r="O1">
        <v>1000</v>
      </c>
      <c r="P1">
        <v>100</v>
      </c>
      <c r="Q1">
        <v>10</v>
      </c>
      <c r="R1">
        <v>1</v>
      </c>
      <c r="S1">
        <v>0.1</v>
      </c>
      <c r="T1">
        <v>0.01</v>
      </c>
      <c r="U1">
        <v>0.001</v>
      </c>
    </row>
    <row r="2" spans="6:22" ht="14.25" thickBot="1" thickTop="1">
      <c r="F2" t="s">
        <v>6</v>
      </c>
      <c r="G2">
        <f>(E30-$E$11)/(C30-C11)</f>
        <v>0.341402193967305</v>
      </c>
      <c r="J2" s="1" t="s">
        <v>8</v>
      </c>
      <c r="K2">
        <f>-1/G2</f>
        <v>-2.9290965836492746</v>
      </c>
      <c r="N2" s="2">
        <v>1</v>
      </c>
      <c r="O2" s="2">
        <v>0</v>
      </c>
      <c r="P2" s="2">
        <v>2</v>
      </c>
      <c r="Q2" s="2">
        <v>3</v>
      </c>
      <c r="R2" s="2">
        <v>0</v>
      </c>
      <c r="S2" s="2">
        <v>6</v>
      </c>
      <c r="T2" s="2">
        <v>6</v>
      </c>
      <c r="U2" s="2">
        <v>4</v>
      </c>
      <c r="V2" t="s">
        <v>37</v>
      </c>
    </row>
    <row r="3" spans="2:22" ht="14.25" thickBot="1" thickTop="1">
      <c r="B3" t="s">
        <v>16</v>
      </c>
      <c r="C3" s="3">
        <f>SUM(A11:A30)</f>
        <v>18</v>
      </c>
      <c r="F3" t="s">
        <v>7</v>
      </c>
      <c r="G3">
        <f>E11-C11*G2</f>
        <v>15.320659838527439</v>
      </c>
      <c r="J3" t="s">
        <v>102</v>
      </c>
      <c r="K3">
        <f>-K2*($C$30+$C$11)/2+($E$30+$E$11)/2</f>
        <v>-320.3182018129072</v>
      </c>
      <c r="N3" s="2">
        <v>-1</v>
      </c>
      <c r="O3" s="2">
        <v>0</v>
      </c>
      <c r="P3" s="2">
        <v>0</v>
      </c>
      <c r="Q3" s="2">
        <v>0</v>
      </c>
      <c r="R3" s="2">
        <v>0</v>
      </c>
      <c r="S3" s="2">
        <v>1</v>
      </c>
      <c r="T3" s="2">
        <v>1</v>
      </c>
      <c r="U3" s="2">
        <v>1</v>
      </c>
      <c r="V3" t="s">
        <v>18</v>
      </c>
    </row>
    <row r="4" spans="5:22" ht="14.25" thickBot="1" thickTop="1">
      <c r="E4" t="s">
        <v>22</v>
      </c>
      <c r="G4">
        <f>SQRT((C30-C11)^2+(E30-E11)^2)</f>
        <v>132.98659388543643</v>
      </c>
      <c r="N4" s="2">
        <v>-1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3</v>
      </c>
      <c r="U4" s="2">
        <v>0</v>
      </c>
      <c r="V4" t="s">
        <v>17</v>
      </c>
    </row>
    <row r="5" spans="9:10" ht="13.5" thickTop="1">
      <c r="I5">
        <f>($W$30-$W$29)/(ABS($W$30-$W$29)+0.00000000000000000001)</f>
        <v>1</v>
      </c>
      <c r="J5" t="s">
        <v>72</v>
      </c>
    </row>
    <row r="6" spans="9:22" ht="12.75">
      <c r="I6">
        <f>$W$25/(ABS(-$W$25)+0.00000000000000000001)</f>
        <v>-1</v>
      </c>
      <c r="J6" t="s">
        <v>70</v>
      </c>
      <c r="P6" t="s">
        <v>39</v>
      </c>
      <c r="Q6">
        <f>($C$30+$C$11)/2+$G$7*SQRT($Q$8^2*$G$2^2/(1+$G$2^2))+$V$7</f>
        <v>-31.375171446451585</v>
      </c>
      <c r="U6" t="s">
        <v>95</v>
      </c>
      <c r="V6">
        <f>MAX(G4/2,N2*(1000*O2+100*P2+10*Q2+R2+0.1*S2+0.01*T2+0.001*U2))</f>
        <v>230.664</v>
      </c>
    </row>
    <row r="7" spans="6:22" ht="12.75">
      <c r="F7" t="s">
        <v>20</v>
      </c>
      <c r="G7">
        <f>((E14-G3)/G2-C14)/(0.00000000000000000001+ABS((E14-G3)/G2-C14))</f>
        <v>1</v>
      </c>
      <c r="I7">
        <f>-($C$11-$W$25)/(ABS($C$11-$W$25)+0.00000000000000000001)</f>
        <v>1</v>
      </c>
      <c r="J7" t="s">
        <v>71</v>
      </c>
      <c r="P7" t="s">
        <v>40</v>
      </c>
      <c r="Q7">
        <f>($E$30+$E$11)/2+$G$8*SQRT($Q$8^2/(1+$G$2^2))+$V$8</f>
        <v>-228.7724240384807</v>
      </c>
      <c r="U7" t="s">
        <v>42</v>
      </c>
      <c r="V7">
        <f>N3*(1000*O3+100*P3+10*Q3+R3+0.1*S3+0.01*T3+0.001*U3)</f>
        <v>-0.111</v>
      </c>
    </row>
    <row r="8" spans="6:22" ht="12.75">
      <c r="F8" t="s">
        <v>21</v>
      </c>
      <c r="G8">
        <f>(G2*C14+G3-E14)/(0.00000000000000000001+ABS(G2*C14+G3-E14))</f>
        <v>-1</v>
      </c>
      <c r="I8">
        <f>-($C$30-$W$25)/(ABS($C$30-$W$25)+0.00000000000000000001)</f>
        <v>1</v>
      </c>
      <c r="J8" t="s">
        <v>69</v>
      </c>
      <c r="O8" t="s">
        <v>38</v>
      </c>
      <c r="Q8">
        <f>SQRT(W24^2-(G4/2)^2)</f>
        <v>220.87218556823194</v>
      </c>
      <c r="U8" t="s">
        <v>43</v>
      </c>
      <c r="V8">
        <f>N4*(1000*O4+100*P4+10*Q4+R4+0.1*S4+0.01*T4+0.001*U4)</f>
        <v>-0.03</v>
      </c>
    </row>
    <row r="9" spans="21:22" ht="12.75">
      <c r="U9" s="5" t="s">
        <v>44</v>
      </c>
      <c r="V9" s="7">
        <f>K32</f>
        <v>0.9213175447258344</v>
      </c>
    </row>
    <row r="10" spans="1:10" ht="12.75">
      <c r="A10" t="s">
        <v>48</v>
      </c>
      <c r="B10" t="s">
        <v>4</v>
      </c>
      <c r="C10" t="s">
        <v>2</v>
      </c>
      <c r="D10" t="s">
        <v>5</v>
      </c>
      <c r="E10" t="s">
        <v>3</v>
      </c>
      <c r="F10" t="s">
        <v>27</v>
      </c>
      <c r="G10" t="s">
        <v>29</v>
      </c>
      <c r="H10" t="s">
        <v>28</v>
      </c>
      <c r="I10" t="s">
        <v>10</v>
      </c>
      <c r="J10" t="s">
        <v>45</v>
      </c>
    </row>
    <row r="11" spans="1:11" ht="12.75">
      <c r="A11">
        <v>1</v>
      </c>
      <c r="B11" t="s">
        <v>51</v>
      </c>
      <c r="C11">
        <v>-39.6991</v>
      </c>
      <c r="D11">
        <v>0.0335</v>
      </c>
      <c r="E11">
        <v>1.7673</v>
      </c>
      <c r="F11">
        <v>0.0015</v>
      </c>
      <c r="G11">
        <v>16.4962</v>
      </c>
      <c r="H11">
        <v>0.01</v>
      </c>
      <c r="I11">
        <f>(D11^2+F11^2)</f>
        <v>0.0011245000000000003</v>
      </c>
      <c r="K11">
        <f>$A11*(($V$6-SQRT(($C11-$Q$6)^2+($E11-$Q$7)^2))^2)/($I11+0.00000000000000000001)</f>
        <v>0.5987576568027693</v>
      </c>
    </row>
    <row r="12" spans="1:11" ht="12.75">
      <c r="A12">
        <v>1</v>
      </c>
      <c r="B12">
        <v>2</v>
      </c>
      <c r="C12">
        <v>-46.112</v>
      </c>
      <c r="D12">
        <v>0.0365</v>
      </c>
      <c r="E12">
        <v>1.4465</v>
      </c>
      <c r="F12">
        <v>0.0011</v>
      </c>
      <c r="G12">
        <v>2</v>
      </c>
      <c r="H12">
        <v>0.01</v>
      </c>
      <c r="I12">
        <f aca="true" t="shared" si="0" ref="I12:I30">(D12^2+F12^2)</f>
        <v>0.0013334599999999999</v>
      </c>
      <c r="K12">
        <f>$A12*(($V$6-SQRT(($C12-$Q$6)^2+($E12-$Q$7)^2))^2)/($I12+0.00000000000000000001)</f>
        <v>0.511271678551613</v>
      </c>
    </row>
    <row r="13" spans="1:11" ht="12.75">
      <c r="A13">
        <v>1</v>
      </c>
      <c r="B13">
        <v>3</v>
      </c>
      <c r="C13">
        <f>-71.6424</f>
        <v>-71.6424</v>
      </c>
      <c r="D13">
        <v>0.0497</v>
      </c>
      <c r="E13">
        <v>-1.7444</v>
      </c>
      <c r="F13">
        <v>0.0012</v>
      </c>
      <c r="G13">
        <v>3</v>
      </c>
      <c r="H13">
        <v>0.01</v>
      </c>
      <c r="I13">
        <f t="shared" si="0"/>
        <v>0.0024715300000000004</v>
      </c>
      <c r="K13">
        <f>$A13*(($V$6-SQRT(($C13-$Q$6)^2+($E13-$Q$7)^2))^2)/($I13+0.00000000000000000001)</f>
        <v>3.4689430747275445</v>
      </c>
    </row>
    <row r="14" spans="1:11" ht="12.75">
      <c r="A14">
        <v>1</v>
      </c>
      <c r="B14">
        <v>4</v>
      </c>
      <c r="C14">
        <v>-78.0069</v>
      </c>
      <c r="D14">
        <v>0.0325</v>
      </c>
      <c r="E14">
        <v>-2.9562</v>
      </c>
      <c r="F14">
        <v>0.0012</v>
      </c>
      <c r="G14">
        <v>4</v>
      </c>
      <c r="H14">
        <v>0.01</v>
      </c>
      <c r="I14">
        <f t="shared" si="0"/>
        <v>0.00105769</v>
      </c>
      <c r="K14">
        <f>$A14*(($V$6-SQRT(($C14-$Q$6)^2+($E14-$Q$7)^2))^2)/($I14+0.00000000000000000001)</f>
        <v>6.5515643108071275</v>
      </c>
    </row>
    <row r="15" spans="1:11" ht="12.75">
      <c r="A15">
        <v>1</v>
      </c>
      <c r="B15">
        <v>5</v>
      </c>
      <c r="C15">
        <v>-84.3483</v>
      </c>
      <c r="D15">
        <v>0.0338</v>
      </c>
      <c r="E15">
        <v>-4.2635</v>
      </c>
      <c r="F15">
        <v>0.0017</v>
      </c>
      <c r="G15">
        <v>5</v>
      </c>
      <c r="H15">
        <v>0.01</v>
      </c>
      <c r="I15">
        <f t="shared" si="0"/>
        <v>0.0011453299999999997</v>
      </c>
      <c r="K15">
        <f>$A15*(($V$6-SQRT(($C15-$Q$6)^2+($E15-$Q$7)^2))^2)/($I15+0.00000000000000000001)</f>
        <v>0.08412512833632306</v>
      </c>
    </row>
    <row r="16" spans="1:11" ht="12.75">
      <c r="A16">
        <v>1</v>
      </c>
      <c r="B16">
        <v>6</v>
      </c>
      <c r="C16">
        <v>-90.6602</v>
      </c>
      <c r="D16">
        <v>0.035</v>
      </c>
      <c r="E16">
        <v>-5.8636</v>
      </c>
      <c r="F16">
        <v>0.0023</v>
      </c>
      <c r="G16">
        <v>6</v>
      </c>
      <c r="H16">
        <v>0.01</v>
      </c>
      <c r="I16">
        <f t="shared" si="0"/>
        <v>0.0012302900000000002</v>
      </c>
      <c r="K16">
        <f>$A16*(($V$6-SQRT(($C16-$Q$6)^2+($E16-$Q$7)^2))^2)/($I16+0.00000000000000000001)</f>
        <v>0.030425468580303858</v>
      </c>
    </row>
    <row r="17" spans="1:11" ht="12.75">
      <c r="A17">
        <v>1</v>
      </c>
      <c r="B17">
        <v>7</v>
      </c>
      <c r="C17">
        <v>-99.6658</v>
      </c>
      <c r="D17">
        <v>0.0479</v>
      </c>
      <c r="E17">
        <v>-8.4286</v>
      </c>
      <c r="F17">
        <v>0.0041</v>
      </c>
      <c r="G17">
        <v>7</v>
      </c>
      <c r="H17">
        <v>0.01</v>
      </c>
      <c r="I17">
        <f t="shared" si="0"/>
        <v>0.0023112199999999997</v>
      </c>
      <c r="K17">
        <f>$A17*(($V$6-SQRT(($C17-$Q$6)^2+($E17-$Q$7)^2))^2)/($I17+0.00000000000000000001)</f>
        <v>0.1694449195294919</v>
      </c>
    </row>
    <row r="18" spans="1:11" ht="12.75">
      <c r="A18">
        <v>1</v>
      </c>
      <c r="B18">
        <v>8</v>
      </c>
      <c r="C18">
        <v>-105.9212</v>
      </c>
      <c r="D18">
        <v>0.0382</v>
      </c>
      <c r="E18">
        <v>-10.4448</v>
      </c>
      <c r="F18">
        <v>0.0038</v>
      </c>
      <c r="G18">
        <v>8</v>
      </c>
      <c r="H18">
        <v>0.01</v>
      </c>
      <c r="I18">
        <f t="shared" si="0"/>
        <v>0.0014736799999999998</v>
      </c>
      <c r="K18">
        <f>$A18*(($V$6-SQRT(($C18-$Q$6)^2+($E18-$Q$7)^2))^2)/($I18+0.00000000000000000001)</f>
        <v>1.0537401446595822</v>
      </c>
    </row>
    <row r="19" spans="1:11" ht="12.75">
      <c r="A19">
        <v>1</v>
      </c>
      <c r="B19">
        <v>9</v>
      </c>
      <c r="C19">
        <v>-112.1322</v>
      </c>
      <c r="D19">
        <v>0.0395</v>
      </c>
      <c r="E19">
        <v>-12.6909</v>
      </c>
      <c r="F19">
        <v>0.0045</v>
      </c>
      <c r="G19">
        <v>9</v>
      </c>
      <c r="H19">
        <v>0.01</v>
      </c>
      <c r="I19">
        <f t="shared" si="0"/>
        <v>0.0015805</v>
      </c>
      <c r="K19">
        <f>$A19*(($V$6-SQRT(($C19-$Q$6)^2+($E19-$Q$7)^2))^2)/($I19+0.00000000000000000001)</f>
        <v>0.14740898677522737</v>
      </c>
    </row>
    <row r="20" spans="1:11" ht="12.75">
      <c r="A20">
        <v>1</v>
      </c>
      <c r="B20">
        <v>10</v>
      </c>
      <c r="C20">
        <v>-118.3069</v>
      </c>
      <c r="D20">
        <v>0.041</v>
      </c>
      <c r="E20">
        <v>-15.0751</v>
      </c>
      <c r="F20">
        <v>0.0052</v>
      </c>
      <c r="G20">
        <v>10</v>
      </c>
      <c r="H20">
        <v>0.01</v>
      </c>
      <c r="I20">
        <f t="shared" si="0"/>
        <v>0.0017080400000000003</v>
      </c>
      <c r="K20">
        <f>$A20*(($V$6-SQRT(($C20-$Q$6)^2+($E20-$Q$7)^2))^2)/($I20+0.00000000000000000001)</f>
        <v>0.8705673470385404</v>
      </c>
    </row>
    <row r="21" spans="1:11" ht="12.75">
      <c r="A21">
        <v>1</v>
      </c>
      <c r="B21">
        <v>11</v>
      </c>
      <c r="C21">
        <v>-124.4216</v>
      </c>
      <c r="D21">
        <v>0.0423</v>
      </c>
      <c r="E21">
        <v>-17.7325</v>
      </c>
      <c r="F21">
        <v>0.006</v>
      </c>
      <c r="G21">
        <v>11</v>
      </c>
      <c r="H21">
        <v>0.01</v>
      </c>
      <c r="I21">
        <f t="shared" si="0"/>
        <v>0.0018252899999999998</v>
      </c>
      <c r="K21">
        <f>$A21*(($V$6-SQRT(($C21-$Q$6)^2+($E21-$Q$7)^2))^2)/($I21+0.00000000000000000001)</f>
        <v>0.2781082219441175</v>
      </c>
    </row>
    <row r="22" spans="1:18" ht="12.75">
      <c r="A22">
        <v>1</v>
      </c>
      <c r="B22">
        <v>12</v>
      </c>
      <c r="C22">
        <v>-130.5007</v>
      </c>
      <c r="D22">
        <v>0.0437</v>
      </c>
      <c r="E22">
        <v>-20.446</v>
      </c>
      <c r="F22">
        <v>0.0068</v>
      </c>
      <c r="G22">
        <v>12</v>
      </c>
      <c r="H22">
        <v>0.01</v>
      </c>
      <c r="I22">
        <f t="shared" si="0"/>
        <v>0.0019559300000000003</v>
      </c>
      <c r="K22">
        <f>$A22*(($V$6-SQRT(($C22-$Q$6)^2+($E22-$Q$7)^2))^2)/($I22+0.00000000000000000001)</f>
        <v>0.9500545713409407</v>
      </c>
      <c r="Q22" t="s">
        <v>25</v>
      </c>
      <c r="R22" t="s">
        <v>26</v>
      </c>
    </row>
    <row r="23" spans="1:22" ht="12.75">
      <c r="A23">
        <v>1</v>
      </c>
      <c r="B23">
        <v>13</v>
      </c>
      <c r="C23">
        <v>-136.5026</v>
      </c>
      <c r="D23">
        <v>0.0449</v>
      </c>
      <c r="E23">
        <v>-23.4521</v>
      </c>
      <c r="F23">
        <v>0.0077</v>
      </c>
      <c r="G23">
        <v>13</v>
      </c>
      <c r="H23">
        <v>0.01</v>
      </c>
      <c r="I23">
        <f t="shared" si="0"/>
        <v>0.0020753000000000004</v>
      </c>
      <c r="K23">
        <f>$A23*(($V$6-SQRT(($C23-$Q$6)^2+($E23-$Q$7)^2))^2)/($I23+0.00000000000000000001)</f>
        <v>0.012299871321580308</v>
      </c>
      <c r="M23">
        <f>$A11</f>
        <v>1</v>
      </c>
      <c r="N23">
        <v>1</v>
      </c>
      <c r="O23">
        <f aca="true" t="shared" si="1" ref="O23:O42">$M23*C11</f>
        <v>-39.6991</v>
      </c>
      <c r="P23">
        <f aca="true" t="shared" si="2" ref="P23:P42">$M23*E11</f>
        <v>1.7673</v>
      </c>
      <c r="Q23">
        <f>$W$25+$V$6*COS(($W$29+($N23-1)*($W$30-$W$29)/19)*$B$1/180)</f>
        <v>-39.698162894236354</v>
      </c>
      <c r="R23">
        <f>$W$26+$V$6*SIN(($W$29+($N23-1)*($W$30-$W$29)/19)*$B$1/180)</f>
        <v>1.7413688446353035</v>
      </c>
      <c r="V23" t="s">
        <v>56</v>
      </c>
    </row>
    <row r="24" spans="1:23" ht="12.75">
      <c r="A24">
        <v>1</v>
      </c>
      <c r="B24">
        <v>14</v>
      </c>
      <c r="C24">
        <v>-142.4529</v>
      </c>
      <c r="D24">
        <v>0.0464</v>
      </c>
      <c r="E24">
        <v>-26.5738</v>
      </c>
      <c r="F24">
        <v>0.0087</v>
      </c>
      <c r="G24">
        <v>14</v>
      </c>
      <c r="H24">
        <v>0.01</v>
      </c>
      <c r="I24">
        <f t="shared" si="0"/>
        <v>0.0022286499999999996</v>
      </c>
      <c r="K24">
        <f>$A24*(($V$6-SQRT(($C24-$Q$6)^2+($E24-$Q$7)^2))^2)/($I24+0.00000000000000000001)</f>
        <v>0.5853994968151027</v>
      </c>
      <c r="M24">
        <f aca="true" t="shared" si="3" ref="M24:M29">$A12</f>
        <v>1</v>
      </c>
      <c r="N24">
        <v>2</v>
      </c>
      <c r="O24">
        <f t="shared" si="1"/>
        <v>-46.112</v>
      </c>
      <c r="P24">
        <f t="shared" si="2"/>
        <v>1.4465</v>
      </c>
      <c r="Q24">
        <f>$W$25+$V$6*COS(($W$29+($N24-1)*($W$30-$W$29)/19)*$B$1/180)</f>
        <v>-46.78874966433006</v>
      </c>
      <c r="R24">
        <f>$W$26+$V$6*SIN(($W$29+($N24-1)*($W$30-$W$29)/19)*$B$1/180)</f>
        <v>1.3760117644187915</v>
      </c>
      <c r="V24" t="s">
        <v>23</v>
      </c>
      <c r="W24">
        <f>V6</f>
        <v>230.664</v>
      </c>
    </row>
    <row r="25" spans="1:23" ht="12.75">
      <c r="A25">
        <v>1</v>
      </c>
      <c r="B25">
        <v>15</v>
      </c>
      <c r="C25">
        <v>-148.3273</v>
      </c>
      <c r="D25">
        <v>0.0477</v>
      </c>
      <c r="E25">
        <v>-29.9367</v>
      </c>
      <c r="F25">
        <v>0.0096</v>
      </c>
      <c r="G25">
        <v>15</v>
      </c>
      <c r="H25">
        <v>0.01</v>
      </c>
      <c r="I25">
        <f t="shared" si="0"/>
        <v>0.00236745</v>
      </c>
      <c r="K25">
        <f>$A25*(($V$6-SQRT(($C25-$Q$6)^2+($E25-$Q$7)^2))^2)/($I25+0.00000000000000000001)</f>
        <v>0.11356491829429896</v>
      </c>
      <c r="M25">
        <f t="shared" si="3"/>
        <v>1</v>
      </c>
      <c r="N25">
        <v>3</v>
      </c>
      <c r="O25">
        <f t="shared" si="1"/>
        <v>-71.6424</v>
      </c>
      <c r="P25">
        <f t="shared" si="2"/>
        <v>-1.7444</v>
      </c>
      <c r="Q25">
        <f>$W$25+$V$6*COS(($W$29+($N25-1)*($W$30-$W$29)/19)*$B$1/180)</f>
        <v>-53.86473284128092</v>
      </c>
      <c r="R25">
        <f>$W$26+$V$6*SIN(($W$29+($N25-1)*($W$30-$W$29)/19)*$B$1/180)</f>
        <v>0.7926005716898317</v>
      </c>
      <c r="V25" t="s">
        <v>35</v>
      </c>
      <c r="W25">
        <f>$Q$6</f>
        <v>-31.375171446451585</v>
      </c>
    </row>
    <row r="26" spans="1:23" ht="12.75">
      <c r="A26">
        <v>1</v>
      </c>
      <c r="B26">
        <v>16</v>
      </c>
      <c r="C26">
        <v>-154.1378</v>
      </c>
      <c r="D26">
        <v>0.0491</v>
      </c>
      <c r="E26">
        <v>-33.5045</v>
      </c>
      <c r="F26">
        <v>0.0107</v>
      </c>
      <c r="G26">
        <v>16</v>
      </c>
      <c r="H26">
        <v>0.01</v>
      </c>
      <c r="I26">
        <f t="shared" si="0"/>
        <v>0.0025253</v>
      </c>
      <c r="K26">
        <f>$A26*(($V$6-SQRT(($C26-$Q$6)^2+($E26-$Q$7)^2))^2)/($I26+0.00000000000000000001)</f>
        <v>0.0595214768423251</v>
      </c>
      <c r="M26">
        <f t="shared" si="3"/>
        <v>1</v>
      </c>
      <c r="N26">
        <v>4</v>
      </c>
      <c r="O26">
        <f t="shared" si="1"/>
        <v>-78.0069</v>
      </c>
      <c r="P26">
        <f t="shared" si="2"/>
        <v>-2.9562</v>
      </c>
      <c r="Q26">
        <f>$W$25+$V$6*COS(($W$29+($N26-1)*($W$30-$W$29)/19)*$B$1/180)</f>
        <v>-60.91940828553468</v>
      </c>
      <c r="R26">
        <f>$W$26+$V$6*SIN(($W$29+($N26-1)*($W$30-$W$29)/19)*$B$1/180)</f>
        <v>-0.00831198067527339</v>
      </c>
      <c r="V26" t="s">
        <v>36</v>
      </c>
      <c r="W26">
        <f>$Q$7</f>
        <v>-228.7724240384807</v>
      </c>
    </row>
    <row r="27" spans="1:18" ht="12.75">
      <c r="A27">
        <v>1</v>
      </c>
      <c r="B27">
        <v>17</v>
      </c>
      <c r="C27">
        <v>-159.8845</v>
      </c>
      <c r="D27">
        <v>0.0504</v>
      </c>
      <c r="E27">
        <v>-37.2683</v>
      </c>
      <c r="F27">
        <v>0.0118</v>
      </c>
      <c r="G27">
        <v>17</v>
      </c>
      <c r="H27">
        <v>0.01</v>
      </c>
      <c r="I27">
        <f t="shared" si="0"/>
        <v>0.0026794</v>
      </c>
      <c r="K27">
        <f>$A27*(($V$6-SQRT(($C27-$Q$6)^2+($E27-$Q$7)^2))^2)/($I27+0.00000000000000000001)</f>
        <v>0.5312566361031799</v>
      </c>
      <c r="M27">
        <f t="shared" si="3"/>
        <v>1</v>
      </c>
      <c r="N27">
        <v>5</v>
      </c>
      <c r="O27">
        <f t="shared" si="1"/>
        <v>-84.3483</v>
      </c>
      <c r="P27">
        <f t="shared" si="2"/>
        <v>-4.2635</v>
      </c>
      <c r="Q27">
        <f>$W$25+$V$6*COS(($W$29+($N27-1)*($W$30-$W$29)/19)*$B$1/180)</f>
        <v>-67.94609204554631</v>
      </c>
      <c r="R27">
        <f>$W$26+$V$6*SIN(($W$29+($N27-1)*($W$30-$W$29)/19)*$B$1/180)</f>
        <v>-1.0259670681587636</v>
      </c>
    </row>
    <row r="28" spans="1:23" ht="12.75">
      <c r="A28">
        <v>0</v>
      </c>
      <c r="B28">
        <v>18</v>
      </c>
      <c r="C28">
        <v>0</v>
      </c>
      <c r="D28">
        <v>0</v>
      </c>
      <c r="E28">
        <v>0</v>
      </c>
      <c r="F28">
        <v>0</v>
      </c>
      <c r="G28">
        <v>18</v>
      </c>
      <c r="H28">
        <v>0.01</v>
      </c>
      <c r="I28">
        <f t="shared" si="0"/>
        <v>0</v>
      </c>
      <c r="K28">
        <f>$A28*(($V$6-SQRT(($C28-$Q$6)^2+($E28-$Q$7)^2))^2)/($I28+0.00000000000000000001)</f>
        <v>0</v>
      </c>
      <c r="M28">
        <f t="shared" si="3"/>
        <v>1</v>
      </c>
      <c r="N28">
        <v>6</v>
      </c>
      <c r="O28">
        <f t="shared" si="1"/>
        <v>-90.6602</v>
      </c>
      <c r="P28">
        <f t="shared" si="2"/>
        <v>-5.8636</v>
      </c>
      <c r="Q28">
        <f>$W$25+$V$6*COS(($W$29+($N28-1)*($W$30-$W$29)/19)*$B$1/180)</f>
        <v>-74.93812669048941</v>
      </c>
      <c r="R28">
        <f>$W$26+$V$6*SIN(($W$29+($N28-1)*($W$30-$W$29)/19)*$B$1/180)</f>
        <v>-2.2594005135496786</v>
      </c>
      <c r="V28" t="s">
        <v>30</v>
      </c>
      <c r="W28">
        <f>180/B1*ATAN(ABS((W30-W29))*B1/180*W24/(G30-G11))</f>
        <v>68.27327630592647</v>
      </c>
    </row>
    <row r="29" spans="1:23" ht="12.75">
      <c r="A29">
        <v>0</v>
      </c>
      <c r="B29">
        <v>19</v>
      </c>
      <c r="C29">
        <v>0</v>
      </c>
      <c r="D29">
        <v>0</v>
      </c>
      <c r="E29">
        <v>0</v>
      </c>
      <c r="F29">
        <v>0</v>
      </c>
      <c r="G29">
        <v>19</v>
      </c>
      <c r="H29">
        <v>0.01</v>
      </c>
      <c r="I29">
        <f t="shared" si="0"/>
        <v>0</v>
      </c>
      <c r="K29">
        <f>$A29*(($V$6-SQRT(($C29-$Q$6)^2+($E29-$Q$7)^2))^2)/($I29+0.00000000000000000001)</f>
        <v>0</v>
      </c>
      <c r="M29">
        <f t="shared" si="3"/>
        <v>1</v>
      </c>
      <c r="N29">
        <v>7</v>
      </c>
      <c r="O29">
        <f t="shared" si="1"/>
        <v>-99.6658</v>
      </c>
      <c r="P29">
        <f t="shared" si="2"/>
        <v>-8.4286</v>
      </c>
      <c r="Q29">
        <f>$W$25+$V$6*COS(($W$29+($N29-1)*($W$30-$W$29)/19)*$B$1/180)</f>
        <v>-81.88888761783792</v>
      </c>
      <c r="R29">
        <f>$W$26+$V$6*SIN(($W$29+($N29-1)*($W$30-$W$29)/19)*$B$1/180)</f>
        <v>-3.7074437004534104</v>
      </c>
      <c r="V29" t="s">
        <v>24</v>
      </c>
      <c r="W29">
        <f>90*(1+$I$7)+ATAN(($E$11-$W$26)/($C$11-$W$25))*180/$B$1</f>
        <v>92.06783826827355</v>
      </c>
    </row>
    <row r="30" spans="1:23" ht="12.75">
      <c r="A30">
        <v>1</v>
      </c>
      <c r="B30" t="s">
        <v>52</v>
      </c>
      <c r="C30">
        <v>-165.5533</v>
      </c>
      <c r="D30">
        <v>0.0518</v>
      </c>
      <c r="E30">
        <v>-41.1996</v>
      </c>
      <c r="F30">
        <v>0.0129</v>
      </c>
      <c r="G30">
        <v>70.2544</v>
      </c>
      <c r="H30">
        <v>0.01</v>
      </c>
      <c r="I30">
        <f t="shared" si="0"/>
        <v>0.00284965</v>
      </c>
      <c r="K30">
        <f>$A30*(($V$6-SQRT(($C30-$Q$6)^2+($E30-$Q$7)^2))^2)/($I30+0.00000000000000000001)</f>
        <v>0.5672618965949489</v>
      </c>
      <c r="M30">
        <f aca="true" t="shared" si="4" ref="M30:M42">$A18</f>
        <v>1</v>
      </c>
      <c r="N30">
        <v>8</v>
      </c>
      <c r="O30">
        <f t="shared" si="1"/>
        <v>-105.9212</v>
      </c>
      <c r="P30">
        <f t="shared" si="2"/>
        <v>-10.4448</v>
      </c>
      <c r="Q30">
        <f>$W$25+$V$6*COS(($W$29+($N30-1)*($W$30-$W$29)/19)*$B$1/180)</f>
        <v>-88.79178932984551</v>
      </c>
      <c r="R30">
        <f>$W$26+$V$6*SIN(($W$29+($N30-1)*($W$30-$W$29)/19)*$B$1/180)</f>
        <v>-5.36872468049711</v>
      </c>
      <c r="V30" t="s">
        <v>31</v>
      </c>
      <c r="W30">
        <f>90*(1+$I$8)+ATAN(($E$30-$W$26)/($C$30-$W$25))*180/$B$1</f>
        <v>125.57761291329261</v>
      </c>
    </row>
    <row r="31" spans="11:23" ht="12.75">
      <c r="K31" t="s">
        <v>19</v>
      </c>
      <c r="M31">
        <f t="shared" si="4"/>
        <v>1</v>
      </c>
      <c r="N31">
        <v>9</v>
      </c>
      <c r="O31">
        <f t="shared" si="1"/>
        <v>-112.1322</v>
      </c>
      <c r="P31">
        <f t="shared" si="2"/>
        <v>-12.6909</v>
      </c>
      <c r="Q31">
        <f>$W$25+$V$6*COS(($W$29+($N31-1)*($W$30-$W$29)/19)*$B$1/180)</f>
        <v>-95.64029167297475</v>
      </c>
      <c r="R31">
        <f>$W$26+$V$6*SIN(($W$29+($N31-1)*($W$30-$W$29)/19)*$B$1/180)</f>
        <v>-7.241669473182213</v>
      </c>
      <c r="V31" t="s">
        <v>32</v>
      </c>
      <c r="W31">
        <f>90*(1+$I$6)+ATAN((-$W$26)/(-$W$25))*180/$B$1</f>
        <v>82.1908435260588</v>
      </c>
    </row>
    <row r="32" spans="10:23" ht="12.75">
      <c r="J32" t="s">
        <v>46</v>
      </c>
      <c r="K32">
        <f>SUM(K11:K30)/$C$3</f>
        <v>0.9213175447258344</v>
      </c>
      <c r="M32">
        <f t="shared" si="4"/>
        <v>1</v>
      </c>
      <c r="N32">
        <v>10</v>
      </c>
      <c r="O32">
        <f t="shared" si="1"/>
        <v>-118.3069</v>
      </c>
      <c r="P32">
        <f t="shared" si="2"/>
        <v>-15.0751</v>
      </c>
      <c r="Q32">
        <f>$W$25+$V$6*COS(($W$29+($N32-1)*($W$30-$W$29)/19)*$B$1/180)</f>
        <v>-102.42790603436464</v>
      </c>
      <c r="R32">
        <f>$W$26+$V$6*SIN(($W$29+($N32-1)*($W$30-$W$29)/19)*$B$1/180)</f>
        <v>-9.324503557151957</v>
      </c>
      <c r="V32" t="s">
        <v>33</v>
      </c>
      <c r="W32">
        <f>W24-SQRT(W26^2+W25^2)</f>
        <v>-0.24988737738718214</v>
      </c>
    </row>
    <row r="33" spans="13:23" ht="12.75">
      <c r="M33">
        <f t="shared" si="4"/>
        <v>1</v>
      </c>
      <c r="N33">
        <v>11</v>
      </c>
      <c r="O33">
        <f t="shared" si="1"/>
        <v>-124.4216</v>
      </c>
      <c r="P33">
        <f t="shared" si="2"/>
        <v>-17.7325</v>
      </c>
      <c r="Q33">
        <f>$W$25+$V$6*COS(($W$29+($N33-1)*($W$30-$W$29)/19)*$B$1/180)</f>
        <v>-109.14820148946659</v>
      </c>
      <c r="R33">
        <f>$W$26+$V$6*SIN(($W$29+($N33-1)*($W$30-$W$29)/19)*$B$1/180)</f>
        <v>-11.615253551461592</v>
      </c>
      <c r="V33" t="s">
        <v>11</v>
      </c>
      <c r="W33">
        <f>1.5*W24/100*0.299792458</f>
        <v>1.0372699129816798</v>
      </c>
    </row>
    <row r="34" spans="13:23" ht="12.75">
      <c r="M34">
        <f t="shared" si="4"/>
        <v>1</v>
      </c>
      <c r="N34">
        <v>12</v>
      </c>
      <c r="O34">
        <f t="shared" si="1"/>
        <v>-130.5007</v>
      </c>
      <c r="P34">
        <f t="shared" si="2"/>
        <v>-20.446</v>
      </c>
      <c r="Q34">
        <f>$W$25+$V$6*COS(($W$29+($N34-1)*($W$30-$W$29)/19)*$B$1/180)</f>
        <v>-115.79481089502283</v>
      </c>
      <c r="R34">
        <f>$W$26+$V$6*SIN(($W$29+($N34-1)*($W$30-$W$29)/19)*$B$1/180)</f>
        <v>-14.11174908525777</v>
      </c>
      <c r="V34" t="s">
        <v>0</v>
      </c>
      <c r="W34">
        <f>-$I$5*SIN(W31*$B$1/180)*W33</f>
        <v>-1.0276504157897646</v>
      </c>
    </row>
    <row r="35" spans="13:23" ht="12.75">
      <c r="M35">
        <f t="shared" si="4"/>
        <v>1</v>
      </c>
      <c r="N35">
        <v>13</v>
      </c>
      <c r="O35">
        <f t="shared" si="1"/>
        <v>-136.5026</v>
      </c>
      <c r="P35">
        <f t="shared" si="2"/>
        <v>-23.4521</v>
      </c>
      <c r="Q35">
        <f>$W$25+$V$6*COS(($W$29+($N35-1)*($W$30-$W$29)/19)*$B$1/180)</f>
        <v>-122.36143692161598</v>
      </c>
      <c r="R35">
        <f>$W$26+$V$6*SIN(($W$29+($N35-1)*($W$30-$W$29)/19)*$B$1/180)</f>
        <v>-16.81162485409635</v>
      </c>
      <c r="V35" t="s">
        <v>1</v>
      </c>
      <c r="W35">
        <f>$I$5*COS(W31*$B$1/180)*W33</f>
        <v>0.14093791294093083</v>
      </c>
    </row>
    <row r="36" spans="13:23" ht="12.75">
      <c r="M36">
        <f t="shared" si="4"/>
        <v>1</v>
      </c>
      <c r="N36">
        <v>14</v>
      </c>
      <c r="O36">
        <f t="shared" si="1"/>
        <v>-142.4529</v>
      </c>
      <c r="P36">
        <f t="shared" si="2"/>
        <v>-26.5738</v>
      </c>
      <c r="Q36">
        <f>$W$25+$V$6*COS(($W$29+($N36-1)*($W$30-$W$29)/19)*$B$1/180)</f>
        <v>-128.8418580200732</v>
      </c>
      <c r="R36">
        <f>$W$26+$V$6*SIN(($W$29+($N36-1)*($W$30-$W$29)/19)*$B$1/180)</f>
        <v>-19.71232286094991</v>
      </c>
      <c r="V36" t="s">
        <v>12</v>
      </c>
      <c r="W36">
        <f>W33/TAN($W$28*$B$1/180)</f>
        <v>0.4133403533409784</v>
      </c>
    </row>
    <row r="37" spans="13:23" ht="12.75">
      <c r="M37">
        <f t="shared" si="4"/>
        <v>1</v>
      </c>
      <c r="N37">
        <v>15</v>
      </c>
      <c r="O37">
        <f t="shared" si="1"/>
        <v>-148.3273</v>
      </c>
      <c r="P37">
        <f t="shared" si="2"/>
        <v>-29.9367</v>
      </c>
      <c r="Q37">
        <f>$W$25+$V$6*COS(($W$29+($N37-1)*($W$30-$W$29)/19)*$B$1/180)</f>
        <v>-135.22993431607188</v>
      </c>
      <c r="R37">
        <f>$W$26+$V$6*SIN(($W$29+($N37-1)*($W$30-$W$29)/19)*$B$1/180)</f>
        <v>-22.811094839781532</v>
      </c>
      <c r="V37" t="s">
        <v>13</v>
      </c>
      <c r="W37">
        <f>SQRT($W$34^2+$W$35^2+$W$36^2)</f>
        <v>1.1165926383767117</v>
      </c>
    </row>
    <row r="38" spans="13:23" ht="12.75">
      <c r="M38">
        <f t="shared" si="4"/>
        <v>1</v>
      </c>
      <c r="N38">
        <v>16</v>
      </c>
      <c r="O38">
        <f t="shared" si="1"/>
        <v>-154.1378</v>
      </c>
      <c r="P38">
        <f t="shared" si="2"/>
        <v>-33.5045</v>
      </c>
      <c r="Q38">
        <f>$W$25+$V$6*COS(($W$29+($N38-1)*($W$30-$W$29)/19)*$B$1/180)</f>
        <v>-141.51961342736357</v>
      </c>
      <c r="R38">
        <f>$W$26+$V$6*SIN(($W$29+($N38-1)*($W$30-$W$29)/19)*$B$1/180)</f>
        <v>-26.105004859389396</v>
      </c>
      <c r="V38" t="s">
        <v>15</v>
      </c>
      <c r="W38">
        <v>0.14</v>
      </c>
    </row>
    <row r="39" spans="13:23" ht="12.75">
      <c r="M39">
        <f t="shared" si="4"/>
        <v>1</v>
      </c>
      <c r="N39">
        <v>17</v>
      </c>
      <c r="O39">
        <f t="shared" si="1"/>
        <v>-159.8845</v>
      </c>
      <c r="P39">
        <f t="shared" si="2"/>
        <v>-37.2683</v>
      </c>
      <c r="Q39">
        <f>$W$25+$V$6*COS(($W$29+($N39-1)*($W$30-$W$29)/19)*$B$1/180)</f>
        <v>-147.70493619810264</v>
      </c>
      <c r="R39">
        <f>$W$26+$V$6*SIN(($W$29+($N39-1)*($W$30-$W$29)/19)*$B$1/180)</f>
        <v>-29.59093210505452</v>
      </c>
      <c r="V39" t="s">
        <v>14</v>
      </c>
      <c r="W39">
        <f>W38^2+W37^2</f>
        <v>1.2663791200770662</v>
      </c>
    </row>
    <row r="40" spans="13:23" ht="12.75">
      <c r="M40">
        <f t="shared" si="4"/>
        <v>0</v>
      </c>
      <c r="N40">
        <v>18</v>
      </c>
      <c r="O40">
        <f t="shared" si="1"/>
        <v>0</v>
      </c>
      <c r="P40">
        <f t="shared" si="2"/>
        <v>0</v>
      </c>
      <c r="Q40">
        <f>$W$25+$V$6*COS(($W$29+($N40-1)*($W$30-$W$29)/19)*$B$1/180)</f>
        <v>-153.7800423448476</v>
      </c>
      <c r="R40">
        <f>$W$26+$V$6*SIN(($W$29+($N40-1)*($W$30-$W$29)/19)*$B$1/180)</f>
        <v>-33.26557383535609</v>
      </c>
      <c r="V40" t="s">
        <v>34</v>
      </c>
      <c r="W40">
        <f>SQRT(W39)</f>
        <v>1.1253351145667971</v>
      </c>
    </row>
    <row r="41" spans="13:18" ht="12.75">
      <c r="M41">
        <f t="shared" si="4"/>
        <v>0</v>
      </c>
      <c r="N41">
        <v>19</v>
      </c>
      <c r="O41">
        <f t="shared" si="1"/>
        <v>0</v>
      </c>
      <c r="P41">
        <f t="shared" si="2"/>
        <v>0</v>
      </c>
      <c r="Q41">
        <f>$W$25+$V$6*COS(($W$29+($N41-1)*($W$30-$W$29)/19)*$B$1/180)</f>
        <v>-159.73917600888672</v>
      </c>
      <c r="R41">
        <f>$W$26+$V$6*SIN(($W$29+($N41-1)*($W$30-$W$29)/19)*$B$1/180)</f>
        <v>-37.12544851135394</v>
      </c>
    </row>
    <row r="42" spans="13:18" ht="12.75">
      <c r="M42">
        <f t="shared" si="4"/>
        <v>1</v>
      </c>
      <c r="N42">
        <v>20</v>
      </c>
      <c r="O42">
        <f t="shared" si="1"/>
        <v>-165.5533</v>
      </c>
      <c r="P42">
        <f t="shared" si="2"/>
        <v>-41.1996</v>
      </c>
      <c r="Q42">
        <f>$W$25+$V$6*COS(($W$29+($N42-1)*($W$30-$W$29)/19)*$B$1/180)</f>
        <v>-165.5766912096251</v>
      </c>
      <c r="R42">
        <f>$W$26+$V$6*SIN(($W$29+($N42-1)*($W$30-$W$29)/19)*$B$1/180)</f>
        <v>-41.16689909517166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2"/>
  <sheetViews>
    <sheetView workbookViewId="0" topLeftCell="A1">
      <selection activeCell="B3" sqref="B3:C3"/>
    </sheetView>
  </sheetViews>
  <sheetFormatPr defaultColWidth="9.140625" defaultRowHeight="12.75"/>
  <cols>
    <col min="22" max="22" width="12.28125" style="0" customWidth="1"/>
  </cols>
  <sheetData>
    <row r="1" spans="1:21" ht="13.5" thickBot="1">
      <c r="A1" t="s">
        <v>47</v>
      </c>
      <c r="B1">
        <v>3.14159265</v>
      </c>
      <c r="E1" t="s">
        <v>9</v>
      </c>
      <c r="I1" t="s">
        <v>104</v>
      </c>
      <c r="N1" s="1" t="s">
        <v>41</v>
      </c>
      <c r="O1">
        <v>1000</v>
      </c>
      <c r="P1">
        <v>100</v>
      </c>
      <c r="Q1">
        <v>10</v>
      </c>
      <c r="R1">
        <v>1</v>
      </c>
      <c r="S1">
        <v>0.1</v>
      </c>
      <c r="T1">
        <v>0.01</v>
      </c>
      <c r="U1">
        <v>0.001</v>
      </c>
    </row>
    <row r="2" spans="6:22" ht="14.25" thickBot="1" thickTop="1">
      <c r="F2" t="s">
        <v>6</v>
      </c>
      <c r="G2">
        <f>(E30-$E$11)/(C30-C11)</f>
        <v>-0.5346411797747184</v>
      </c>
      <c r="J2" s="1" t="s">
        <v>8</v>
      </c>
      <c r="K2">
        <f>-1/G2</f>
        <v>1.8704133497935378</v>
      </c>
      <c r="N2" s="2">
        <v>1</v>
      </c>
      <c r="O2" s="2">
        <v>0</v>
      </c>
      <c r="P2" s="2">
        <v>7</v>
      </c>
      <c r="Q2" s="2">
        <v>0</v>
      </c>
      <c r="R2" s="2">
        <v>8</v>
      </c>
      <c r="S2" s="2">
        <v>8</v>
      </c>
      <c r="T2" s="2">
        <v>9</v>
      </c>
      <c r="U2" s="2">
        <v>9</v>
      </c>
      <c r="V2" t="s">
        <v>37</v>
      </c>
    </row>
    <row r="3" spans="2:22" ht="14.25" thickBot="1" thickTop="1">
      <c r="B3" t="s">
        <v>16</v>
      </c>
      <c r="C3" s="3">
        <f>SUM(A11:A30)</f>
        <v>20</v>
      </c>
      <c r="F3" t="s">
        <v>7</v>
      </c>
      <c r="G3">
        <f>E11-C11*G2</f>
        <v>-5.139170509546659</v>
      </c>
      <c r="J3" t="s">
        <v>102</v>
      </c>
      <c r="K3">
        <f>-K2*($C$30+$C$11)/2+($E$30+$E$11)/2</f>
        <v>215.68199339730108</v>
      </c>
      <c r="N3" s="2">
        <v>1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8</v>
      </c>
      <c r="V3" t="s">
        <v>18</v>
      </c>
    </row>
    <row r="4" spans="5:22" ht="14.25" thickBot="1" thickTop="1">
      <c r="E4" t="s">
        <v>22</v>
      </c>
      <c r="G4">
        <f>SQRT((C30-C11)^2+(E30-E11)^2)</f>
        <v>124.55832920499535</v>
      </c>
      <c r="N4" s="2">
        <v>-1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2</v>
      </c>
      <c r="U4" s="2">
        <v>8</v>
      </c>
      <c r="V4" t="s">
        <v>17</v>
      </c>
    </row>
    <row r="5" spans="9:10" ht="13.5" thickTop="1">
      <c r="I5">
        <f>($W$30-$W$29)/(ABS($W$30-$W$29)+0.00000000000000000001)</f>
        <v>-1</v>
      </c>
      <c r="J5" t="s">
        <v>72</v>
      </c>
    </row>
    <row r="6" spans="9:22" ht="12.75">
      <c r="I6">
        <f>$W$25/(ABS(-$W$25)+0.00000000000000000001)</f>
        <v>1</v>
      </c>
      <c r="J6" t="s">
        <v>70</v>
      </c>
      <c r="P6" t="s">
        <v>39</v>
      </c>
      <c r="Q6">
        <f>($C$30+$C$11)/2+$G$7*SQRT($Q$8^2*$G$2^2/(1+$G$2^2))+$V$7</f>
        <v>241.13610543193474</v>
      </c>
      <c r="U6" t="s">
        <v>95</v>
      </c>
      <c r="V6">
        <f>MAX(G4/2,N2*(1000*O2+100*P2+10*Q2+R2+0.1*S2+0.01*T2+0.001*U2))</f>
        <v>708.899</v>
      </c>
    </row>
    <row r="7" spans="6:31" ht="12.75">
      <c r="F7" t="s">
        <v>20</v>
      </c>
      <c r="G7">
        <f>((E14-G3)/G2-C14)/(0.00000000000000000001+ABS((E14-G3)/G2-C14))</f>
        <v>1</v>
      </c>
      <c r="I7">
        <f>-($C$11-$W$25)/(ABS($C$11-$W$25)+0.00000000000000000001)</f>
        <v>1</v>
      </c>
      <c r="J7" t="s">
        <v>71</v>
      </c>
      <c r="P7" t="s">
        <v>40</v>
      </c>
      <c r="Q7">
        <f>($E$30+$E$11)/2+$G$8*SQRT($Q$8^2/(1+$G$2^2))+$V$8</f>
        <v>666.6632208076155</v>
      </c>
      <c r="U7" t="s">
        <v>42</v>
      </c>
      <c r="V7">
        <f>N3*(1000*O3+100*P3+10*Q3+R3+0.1*S3+0.01*T3+0.001*U3)</f>
        <v>0.008</v>
      </c>
      <c r="AD7">
        <f>-($C$11-$T$3)/(ABS($C$11-$T$3)+0.00000000000000000001)</f>
        <v>1</v>
      </c>
      <c r="AE7">
        <v>0</v>
      </c>
    </row>
    <row r="8" spans="6:31" ht="12.75">
      <c r="F8" t="s">
        <v>21</v>
      </c>
      <c r="G8">
        <f>(G2*C14+G3-E14)/(0.00000000000000000001+ABS(G2*C14+G3-E14))</f>
        <v>1</v>
      </c>
      <c r="I8">
        <f>-($C$30-$W$25)/(ABS($C$30-$W$25)+0.00000000000000000001)</f>
        <v>1</v>
      </c>
      <c r="J8" t="s">
        <v>69</v>
      </c>
      <c r="O8" t="s">
        <v>38</v>
      </c>
      <c r="Q8">
        <f>SQRT(W24^2-(G4/2)^2)</f>
        <v>706.1579836392243</v>
      </c>
      <c r="U8" t="s">
        <v>43</v>
      </c>
      <c r="V8">
        <f>N4*(1000*O4+100*P4+10*Q4+R4+0.1*S4+0.01*T4+0.001*U4)</f>
        <v>-0.028</v>
      </c>
      <c r="AD8">
        <f>-($C$30-$T$3)/(ABS($C$30-$T$3)+0.00000000000000000001)</f>
        <v>1</v>
      </c>
      <c r="AE8">
        <v>0</v>
      </c>
    </row>
    <row r="9" spans="21:22" ht="12.75">
      <c r="U9" s="5" t="s">
        <v>44</v>
      </c>
      <c r="V9" s="7">
        <f>K32</f>
        <v>0.5322892602664095</v>
      </c>
    </row>
    <row r="10" spans="1:10" ht="12.75">
      <c r="A10" t="s">
        <v>48</v>
      </c>
      <c r="B10" t="s">
        <v>4</v>
      </c>
      <c r="C10" t="s">
        <v>2</v>
      </c>
      <c r="D10" t="s">
        <v>5</v>
      </c>
      <c r="E10" t="s">
        <v>3</v>
      </c>
      <c r="F10" t="s">
        <v>27</v>
      </c>
      <c r="G10" t="s">
        <v>29</v>
      </c>
      <c r="H10" t="s">
        <v>28</v>
      </c>
      <c r="I10" t="s">
        <v>10</v>
      </c>
      <c r="J10" t="s">
        <v>45</v>
      </c>
    </row>
    <row r="11" spans="1:11" ht="12.75">
      <c r="A11">
        <v>1</v>
      </c>
      <c r="B11" t="s">
        <v>49</v>
      </c>
      <c r="C11">
        <v>-36.8931</v>
      </c>
      <c r="D11">
        <v>0.0195</v>
      </c>
      <c r="E11">
        <v>14.5854</v>
      </c>
      <c r="F11">
        <v>0.0077</v>
      </c>
      <c r="G11">
        <v>51.1153</v>
      </c>
      <c r="H11">
        <v>0.062</v>
      </c>
      <c r="I11">
        <f aca="true" t="shared" si="0" ref="I11:I30">(D11^2+F11^2)</f>
        <v>0.00043954</v>
      </c>
      <c r="K11">
        <f>$A11*(($V$6-SQRT(($C11-$Q$6)^2+($E11-$Q$7)^2))^2)/($I11+0.00000000000000000001)</f>
        <v>1.1639933308510906</v>
      </c>
    </row>
    <row r="12" spans="1:11" ht="12.75">
      <c r="A12">
        <v>1</v>
      </c>
      <c r="B12">
        <v>2</v>
      </c>
      <c r="C12" s="4">
        <v>-42.7772</v>
      </c>
      <c r="D12" s="4">
        <v>0.0191</v>
      </c>
      <c r="E12" s="4">
        <v>17.0797</v>
      </c>
      <c r="F12" s="4">
        <v>0.0076</v>
      </c>
      <c r="G12" s="4">
        <v>59.3691</v>
      </c>
      <c r="H12" s="4">
        <v>0.0591</v>
      </c>
      <c r="I12">
        <f t="shared" si="0"/>
        <v>0.00042257</v>
      </c>
      <c r="K12">
        <f>$A12*(($V$6-SQRT(($C12-$Q$6)^2+($E12-$Q$7)^2))^2)/($I12+0.00000000000000000001)</f>
        <v>0.9047959540026147</v>
      </c>
    </row>
    <row r="13" spans="1:11" ht="12.75">
      <c r="A13">
        <v>1</v>
      </c>
      <c r="B13">
        <v>3</v>
      </c>
      <c r="C13" s="4">
        <v>-48.6142</v>
      </c>
      <c r="D13" s="4">
        <v>0.0374</v>
      </c>
      <c r="E13" s="4">
        <v>19.6851</v>
      </c>
      <c r="F13" s="4">
        <v>0.0152</v>
      </c>
      <c r="G13" s="4">
        <v>67.5355</v>
      </c>
      <c r="H13" s="4">
        <v>0.0599</v>
      </c>
      <c r="I13">
        <f t="shared" si="0"/>
        <v>0.0016298000000000003</v>
      </c>
      <c r="K13">
        <f>$A13*(($V$6-SQRT(($C13-$Q$6)^2+($E13-$Q$7)^2))^2)/($I13+0.00000000000000000001)</f>
        <v>0.0010604316602721854</v>
      </c>
    </row>
    <row r="14" spans="1:11" ht="12.75">
      <c r="A14">
        <v>1</v>
      </c>
      <c r="B14">
        <v>4</v>
      </c>
      <c r="C14" s="4">
        <v>-54.4516</v>
      </c>
      <c r="D14" s="4">
        <v>0.0184</v>
      </c>
      <c r="E14" s="4">
        <v>22.3098</v>
      </c>
      <c r="F14" s="4">
        <v>0.0075</v>
      </c>
      <c r="G14" s="4">
        <v>75.6179</v>
      </c>
      <c r="H14" s="4">
        <v>0.0572</v>
      </c>
      <c r="I14">
        <f t="shared" si="0"/>
        <v>0.00039481</v>
      </c>
      <c r="K14">
        <f>$A14*(($V$6-SQRT(($C14-$Q$6)^2+($E14-$Q$7)^2))^2)/($I14+0.00000000000000000001)</f>
        <v>0.8277128782180119</v>
      </c>
    </row>
    <row r="15" spans="1:11" ht="12.75">
      <c r="A15">
        <v>1</v>
      </c>
      <c r="B15">
        <v>5</v>
      </c>
      <c r="C15" s="4">
        <v>-60.2523</v>
      </c>
      <c r="D15" s="4">
        <v>-0.0181</v>
      </c>
      <c r="E15" s="4">
        <v>25.0369</v>
      </c>
      <c r="F15" s="4">
        <v>0.0075</v>
      </c>
      <c r="G15" s="4">
        <v>83.8179</v>
      </c>
      <c r="H15" s="4">
        <v>0.0657</v>
      </c>
      <c r="I15">
        <f t="shared" si="0"/>
        <v>0.00038386000000000003</v>
      </c>
      <c r="K15">
        <f>$A15*(($V$6-SQRT(($C15-$Q$6)^2+($E15-$Q$7)^2))^2)/($I15+0.00000000000000000001)</f>
        <v>0.44287290193373674</v>
      </c>
    </row>
    <row r="16" spans="1:11" ht="12.75">
      <c r="A16">
        <v>1</v>
      </c>
      <c r="B16">
        <v>6</v>
      </c>
      <c r="C16" s="4">
        <v>-66.0549</v>
      </c>
      <c r="D16" s="4">
        <v>0.0179</v>
      </c>
      <c r="E16" s="4">
        <v>27.7582</v>
      </c>
      <c r="F16" s="4">
        <v>0.0075</v>
      </c>
      <c r="G16" s="4">
        <v>91.9457</v>
      </c>
      <c r="H16" s="4">
        <v>0.0554</v>
      </c>
      <c r="I16">
        <f t="shared" si="0"/>
        <v>0.00037665999999999996</v>
      </c>
      <c r="K16">
        <f>$A16*(($V$6-SQRT(($C16-$Q$6)^2+($E16-$Q$7)^2))^2)/($I16+0.00000000000000000001)</f>
        <v>1.046359580368039</v>
      </c>
    </row>
    <row r="17" spans="1:11" ht="12.75">
      <c r="A17">
        <v>1</v>
      </c>
      <c r="B17">
        <v>7</v>
      </c>
      <c r="C17" s="4">
        <v>-71.8004</v>
      </c>
      <c r="D17" s="4">
        <v>0.0178</v>
      </c>
      <c r="E17" s="4">
        <v>30.5956</v>
      </c>
      <c r="F17" s="4">
        <v>0.0076</v>
      </c>
      <c r="G17" s="4">
        <v>100.1116</v>
      </c>
      <c r="H17" s="4">
        <v>0.0545</v>
      </c>
      <c r="I17">
        <f t="shared" si="0"/>
        <v>0.0003746</v>
      </c>
      <c r="K17">
        <f>$A17*(($V$6-SQRT(($C17-$Q$6)^2+($E17-$Q$7)^2))^2)/($I17+0.00000000000000000001)</f>
        <v>0.9338585036437057</v>
      </c>
    </row>
    <row r="18" spans="1:11" ht="12.75">
      <c r="A18">
        <v>1</v>
      </c>
      <c r="B18">
        <v>8</v>
      </c>
      <c r="C18" s="4">
        <v>-77.546</v>
      </c>
      <c r="D18" s="4">
        <v>0.0176</v>
      </c>
      <c r="E18" s="4">
        <v>33.4163</v>
      </c>
      <c r="F18" s="4">
        <v>0.0076</v>
      </c>
      <c r="G18" s="4">
        <v>108.275</v>
      </c>
      <c r="H18" s="4">
        <v>0.0551</v>
      </c>
      <c r="I18">
        <f t="shared" si="0"/>
        <v>0.00036752000000000003</v>
      </c>
      <c r="K18">
        <f>$A18*(($V$6-SQRT(($C18-$Q$6)^2+($E18-$Q$7)^2))^2)/($I18+0.00000000000000000001)</f>
        <v>0.6643817977785071</v>
      </c>
    </row>
    <row r="19" spans="1:11" ht="12.75">
      <c r="A19">
        <v>1</v>
      </c>
      <c r="B19">
        <v>9</v>
      </c>
      <c r="C19" s="4">
        <v>-83.2522</v>
      </c>
      <c r="D19" s="4">
        <v>0.0176</v>
      </c>
      <c r="E19" s="4">
        <v>36.3262</v>
      </c>
      <c r="F19" s="4">
        <v>0.0077</v>
      </c>
      <c r="G19" s="4">
        <v>116.433</v>
      </c>
      <c r="H19" s="4">
        <v>0.0526</v>
      </c>
      <c r="I19">
        <f t="shared" si="0"/>
        <v>0.00036905</v>
      </c>
      <c r="K19">
        <f>$A19*(($V$6-SQRT(($C19-$Q$6)^2+($E19-$Q$7)^2))^2)/($I19+0.00000000000000000001)</f>
        <v>0.2928817994022413</v>
      </c>
    </row>
    <row r="20" spans="1:11" ht="12.75">
      <c r="A20">
        <v>1</v>
      </c>
      <c r="B20">
        <v>10</v>
      </c>
      <c r="C20" s="4">
        <v>-91.345</v>
      </c>
      <c r="D20" s="4">
        <v>0.0175</v>
      </c>
      <c r="E20" s="4">
        <v>40.5502</v>
      </c>
      <c r="F20" s="4">
        <v>0.0078</v>
      </c>
      <c r="G20" s="4">
        <v>128.0871</v>
      </c>
      <c r="H20" s="4">
        <v>0.0512</v>
      </c>
      <c r="I20">
        <f t="shared" si="0"/>
        <v>0.00036709000000000004</v>
      </c>
      <c r="K20">
        <f>$A20*(($V$6-SQRT(($C20-$Q$6)^2+($E20-$Q$7)^2))^2)/($I20+0.00000000000000000001)</f>
        <v>0.742541419960455</v>
      </c>
    </row>
    <row r="21" spans="1:11" ht="12.75">
      <c r="A21">
        <v>1</v>
      </c>
      <c r="B21">
        <v>11</v>
      </c>
      <c r="C21" s="4">
        <v>-96.9897</v>
      </c>
      <c r="D21" s="4">
        <v>0.0352</v>
      </c>
      <c r="E21" s="4">
        <v>43.6123</v>
      </c>
      <c r="F21" s="4">
        <v>0.0158</v>
      </c>
      <c r="G21" s="4">
        <v>136.245</v>
      </c>
      <c r="H21" s="4">
        <v>0.0502</v>
      </c>
      <c r="I21">
        <f t="shared" si="0"/>
        <v>0.00148868</v>
      </c>
      <c r="K21">
        <f>$A21*(($V$6-SQRT(($C21-$Q$6)^2+($E21-$Q$7)^2))^2)/($I21+0.00000000000000000001)</f>
        <v>0.0885913960752055</v>
      </c>
    </row>
    <row r="22" spans="1:18" ht="12.75">
      <c r="A22">
        <v>1</v>
      </c>
      <c r="B22">
        <v>12</v>
      </c>
      <c r="C22" s="4">
        <v>-102.6177</v>
      </c>
      <c r="D22" s="4">
        <v>0.0177</v>
      </c>
      <c r="E22" s="4">
        <v>46.7095</v>
      </c>
      <c r="F22" s="4">
        <v>0.0081</v>
      </c>
      <c r="G22" s="4">
        <v>144.4262</v>
      </c>
      <c r="H22" s="4">
        <v>0.0528</v>
      </c>
      <c r="I22">
        <f t="shared" si="0"/>
        <v>0.00037890000000000005</v>
      </c>
      <c r="K22">
        <f>$A22*(($V$6-SQRT(($C22-$Q$6)^2+($E22-$Q$7)^2))^2)/($I22+0.00000000000000000001)</f>
        <v>1.066283735177642</v>
      </c>
      <c r="Q22" t="s">
        <v>25</v>
      </c>
      <c r="R22" t="s">
        <v>26</v>
      </c>
    </row>
    <row r="23" spans="1:22" ht="12.75">
      <c r="A23">
        <v>1</v>
      </c>
      <c r="B23">
        <v>13</v>
      </c>
      <c r="C23" s="4">
        <v>-108.2383</v>
      </c>
      <c r="D23" s="4">
        <v>0.0179</v>
      </c>
      <c r="E23" s="4">
        <v>49.828</v>
      </c>
      <c r="F23" s="4">
        <v>0.0082</v>
      </c>
      <c r="G23" s="4">
        <v>152.5342</v>
      </c>
      <c r="H23" s="4">
        <v>0.0497</v>
      </c>
      <c r="I23">
        <f t="shared" si="0"/>
        <v>0.00038765</v>
      </c>
      <c r="K23">
        <f>$A23*(($V$6-SQRT(($C23-$Q$6)^2+($E23-$Q$7)^2))^2)/($I23+0.00000000000000000001)</f>
        <v>0.13807090224507343</v>
      </c>
      <c r="M23">
        <f>$A11</f>
        <v>1</v>
      </c>
      <c r="N23">
        <v>1</v>
      </c>
      <c r="O23">
        <f aca="true" t="shared" si="1" ref="O23:O42">$M23*C11</f>
        <v>-36.8931</v>
      </c>
      <c r="P23">
        <f aca="true" t="shared" si="2" ref="P23:P42">$M23*E11</f>
        <v>14.5854</v>
      </c>
      <c r="Q23">
        <f>$W$25+$V$6*COS(($W$29+($N23-1)*($W$30-$W$29)/19)*$B$1/180)</f>
        <v>-36.90197378581192</v>
      </c>
      <c r="R23">
        <f>$W$26+$V$6*SIN(($W$29+($N23-1)*($W$30-$W$29)/19)*$B$1/180)</f>
        <v>14.56459429019526</v>
      </c>
      <c r="V23" t="s">
        <v>57</v>
      </c>
    </row>
    <row r="24" spans="1:23" ht="12.75">
      <c r="A24">
        <v>1</v>
      </c>
      <c r="B24">
        <v>14</v>
      </c>
      <c r="C24" s="4">
        <v>-113.814</v>
      </c>
      <c r="D24" s="4">
        <v>0.018</v>
      </c>
      <c r="E24" s="4">
        <v>53.0414</v>
      </c>
      <c r="F24" s="4">
        <v>0.0084</v>
      </c>
      <c r="G24" s="4">
        <v>160.7897</v>
      </c>
      <c r="H24" s="4">
        <v>0.0474</v>
      </c>
      <c r="I24">
        <f t="shared" si="0"/>
        <v>0.00039455999999999996</v>
      </c>
      <c r="K24">
        <f>$A24*(($V$6-SQRT(($C24-$Q$6)^2+($E24-$Q$7)^2))^2)/($I24+0.00000000000000000001)</f>
        <v>0.34226522504487933</v>
      </c>
      <c r="M24">
        <f aca="true" t="shared" si="3" ref="M24:M42">$A12</f>
        <v>1</v>
      </c>
      <c r="N24">
        <v>2</v>
      </c>
      <c r="O24">
        <f t="shared" si="1"/>
        <v>-42.7772</v>
      </c>
      <c r="P24">
        <f t="shared" si="2"/>
        <v>17.0797</v>
      </c>
      <c r="Q24">
        <f>$W$25+$V$6*COS(($W$29+($N24-1)*($W$30-$W$29)/19)*$B$1/180)</f>
        <v>-42.92835700865365</v>
      </c>
      <c r="R24">
        <f>$W$26+$V$6*SIN(($W$29+($N24-1)*($W$30-$W$29)/19)*$B$1/180)</f>
        <v>17.167128918419053</v>
      </c>
      <c r="V24" t="s">
        <v>23</v>
      </c>
      <c r="W24">
        <f>V6</f>
        <v>708.899</v>
      </c>
    </row>
    <row r="25" spans="1:23" ht="12.75">
      <c r="A25">
        <v>1</v>
      </c>
      <c r="B25">
        <v>15</v>
      </c>
      <c r="C25" s="4">
        <v>-119.369</v>
      </c>
      <c r="D25" s="4">
        <v>0.0184</v>
      </c>
      <c r="E25" s="4">
        <v>56.2904</v>
      </c>
      <c r="F25" s="4">
        <v>0.0087</v>
      </c>
      <c r="G25" s="4">
        <v>168.982</v>
      </c>
      <c r="H25" s="4">
        <v>0.0464</v>
      </c>
      <c r="I25">
        <f t="shared" si="0"/>
        <v>0.00041425</v>
      </c>
      <c r="K25">
        <f>$A25*(($V$6-SQRT(($C25-$Q$6)^2+($E25-$Q$7)^2))^2)/($I25+0.00000000000000000001)</f>
        <v>0.42811129694360606</v>
      </c>
      <c r="M25">
        <f t="shared" si="3"/>
        <v>1</v>
      </c>
      <c r="N25">
        <v>3</v>
      </c>
      <c r="O25">
        <f t="shared" si="1"/>
        <v>-48.6142</v>
      </c>
      <c r="P25">
        <f t="shared" si="2"/>
        <v>19.6851</v>
      </c>
      <c r="Q25">
        <f>$W$25+$V$6*COS(($W$29+($N25-1)*($W$30-$W$29)/19)*$B$1/180)</f>
        <v>-48.930382910355405</v>
      </c>
      <c r="R25">
        <f>$W$26+$V$6*SIN(($W$29+($N25-1)*($W$30-$W$29)/19)*$B$1/180)</f>
        <v>19.82535507790101</v>
      </c>
      <c r="V25" t="s">
        <v>35</v>
      </c>
      <c r="W25">
        <f>$Q$6</f>
        <v>241.13610543193474</v>
      </c>
    </row>
    <row r="26" spans="1:23" ht="12.75">
      <c r="A26">
        <v>1</v>
      </c>
      <c r="B26">
        <v>16</v>
      </c>
      <c r="C26" s="4">
        <v>-124.9052</v>
      </c>
      <c r="D26" s="4">
        <v>0.0187</v>
      </c>
      <c r="E26" s="4">
        <v>59.5893</v>
      </c>
      <c r="F26" s="4">
        <v>0.0089</v>
      </c>
      <c r="G26" s="4">
        <v>177.1593</v>
      </c>
      <c r="H26" s="4">
        <v>0.0467</v>
      </c>
      <c r="I26">
        <f t="shared" si="0"/>
        <v>0.00042890000000000007</v>
      </c>
      <c r="K26">
        <f>$A26*(($V$6-SQRT(($C26-$Q$6)^2+($E26-$Q$7)^2))^2)/($I26+0.00000000000000000001)</f>
        <v>0.19032309739761125</v>
      </c>
      <c r="M26">
        <f t="shared" si="3"/>
        <v>1</v>
      </c>
      <c r="N26">
        <v>4</v>
      </c>
      <c r="O26">
        <f t="shared" si="1"/>
        <v>-54.4516</v>
      </c>
      <c r="P26">
        <f t="shared" si="2"/>
        <v>22.3098</v>
      </c>
      <c r="Q26">
        <f>$W$25+$V$6*COS(($W$29+($N26-1)*($W$30-$W$29)/19)*$B$1/180)</f>
        <v>-54.90753684268853</v>
      </c>
      <c r="R26">
        <f>$W$26+$V$6*SIN(($W$29+($N26-1)*($W$30-$W$29)/19)*$B$1/180)</f>
        <v>22.539044837038432</v>
      </c>
      <c r="V26" t="s">
        <v>36</v>
      </c>
      <c r="W26">
        <f>$Q$7</f>
        <v>666.6632208076155</v>
      </c>
    </row>
    <row r="27" spans="1:18" ht="12.75">
      <c r="A27">
        <v>1</v>
      </c>
      <c r="B27">
        <v>17</v>
      </c>
      <c r="C27" s="4">
        <v>-130.4133</v>
      </c>
      <c r="D27" s="4">
        <v>0.019</v>
      </c>
      <c r="E27" s="4">
        <v>62.9444</v>
      </c>
      <c r="F27" s="4">
        <v>0.0092</v>
      </c>
      <c r="G27" s="4">
        <v>185.3485</v>
      </c>
      <c r="H27" s="4">
        <v>0.0444</v>
      </c>
      <c r="I27">
        <f t="shared" si="0"/>
        <v>0.00044563999999999997</v>
      </c>
      <c r="K27">
        <f>$A27*(($V$6-SQRT(($C27-$Q$6)^2+($E27-$Q$7)^2))^2)/($I27+0.00000000000000000001)</f>
        <v>0.17211579433458116</v>
      </c>
      <c r="M27">
        <f t="shared" si="3"/>
        <v>1</v>
      </c>
      <c r="N27">
        <v>5</v>
      </c>
      <c r="O27">
        <f t="shared" si="1"/>
        <v>-60.2523</v>
      </c>
      <c r="P27">
        <f t="shared" si="2"/>
        <v>25.0369</v>
      </c>
      <c r="Q27">
        <f>$W$25+$V$6*COS(($W$29+($N27-1)*($W$30-$W$29)/19)*$B$1/180)</f>
        <v>-60.85930629009093</v>
      </c>
      <c r="R27">
        <f>$W$26+$V$6*SIN(($W$29+($N27-1)*($W$30-$W$29)/19)*$B$1/180)</f>
        <v>25.307965508460597</v>
      </c>
    </row>
    <row r="28" spans="1:23" ht="12.75">
      <c r="A28">
        <v>1</v>
      </c>
      <c r="B28">
        <v>18</v>
      </c>
      <c r="C28" s="4">
        <v>-135.8869</v>
      </c>
      <c r="D28" s="4">
        <v>0.0389</v>
      </c>
      <c r="E28" s="4">
        <v>66.3638</v>
      </c>
      <c r="F28" s="4">
        <v>0.019</v>
      </c>
      <c r="G28" s="4">
        <v>193.5464</v>
      </c>
      <c r="H28" s="4">
        <v>0.0433</v>
      </c>
      <c r="I28">
        <f t="shared" si="0"/>
        <v>0.0018742099999999999</v>
      </c>
      <c r="K28">
        <f>$A28*(($V$6-SQRT(($C28-$Q$6)^2+($E28-$Q$7)^2))^2)/($I28+0.00000000000000000001)</f>
        <v>0.2726771868622763</v>
      </c>
      <c r="M28">
        <f t="shared" si="3"/>
        <v>1</v>
      </c>
      <c r="N28">
        <v>6</v>
      </c>
      <c r="O28">
        <f t="shared" si="1"/>
        <v>-66.0549</v>
      </c>
      <c r="P28">
        <f t="shared" si="2"/>
        <v>27.7582</v>
      </c>
      <c r="Q28">
        <f>$W$25+$V$6*COS(($W$29+($N28-1)*($W$30-$W$29)/19)*$B$1/180)</f>
        <v>-66.78518091361039</v>
      </c>
      <c r="R28">
        <f>$W$26+$V$6*SIN(($W$29+($N28-1)*($W$30-$W$29)/19)*$B$1/180)</f>
        <v>28.131879668979764</v>
      </c>
      <c r="V28" t="s">
        <v>30</v>
      </c>
      <c r="W28">
        <f>180/B1*ATAN(ABS((W30-W29))*B1/180*W24/(G30-G11))</f>
        <v>38.123374554278236</v>
      </c>
    </row>
    <row r="29" spans="1:23" ht="12.75">
      <c r="A29">
        <v>1</v>
      </c>
      <c r="B29">
        <v>19</v>
      </c>
      <c r="C29" s="4">
        <v>-141.3456</v>
      </c>
      <c r="D29" s="4">
        <v>0.02</v>
      </c>
      <c r="E29" s="4">
        <v>69.7871</v>
      </c>
      <c r="F29" s="4">
        <v>0.0099</v>
      </c>
      <c r="G29" s="4">
        <v>201.7783</v>
      </c>
      <c r="H29" s="4">
        <v>0.0422</v>
      </c>
      <c r="I29">
        <f t="shared" si="0"/>
        <v>0.00049801</v>
      </c>
      <c r="K29">
        <f>$A29*(($V$6-SQRT(($C29-$Q$6)^2+($E29-$Q$7)^2))^2)/($I29+0.00000000000000000001)</f>
        <v>0.24204812238240797</v>
      </c>
      <c r="M29">
        <f t="shared" si="3"/>
        <v>1</v>
      </c>
      <c r="N29">
        <v>7</v>
      </c>
      <c r="O29">
        <f t="shared" si="1"/>
        <v>-71.8004</v>
      </c>
      <c r="P29">
        <f t="shared" si="2"/>
        <v>30.5956</v>
      </c>
      <c r="Q29">
        <f>$W$25+$V$6*COS(($W$29+($N29-1)*($W$30-$W$29)/19)*$B$1/180)</f>
        <v>-72.68465259466765</v>
      </c>
      <c r="R29">
        <f>$W$26+$V$6*SIN(($W$29+($N29-1)*($W$30-$W$29)/19)*$B$1/180)</f>
        <v>31.010545179951123</v>
      </c>
      <c r="V29" t="s">
        <v>24</v>
      </c>
      <c r="W29">
        <f>90*(1+$I$7)+ATAN(($E$11-$W$26)/($C$11-$W$25))*180/$B$1</f>
        <v>246.90784765141302</v>
      </c>
    </row>
    <row r="30" spans="1:23" ht="12.75">
      <c r="A30">
        <v>1</v>
      </c>
      <c r="B30" t="s">
        <v>50</v>
      </c>
      <c r="C30" s="4">
        <v>-146.7378</v>
      </c>
      <c r="D30" s="4">
        <v>0.0206</v>
      </c>
      <c r="E30" s="4">
        <v>73.3129</v>
      </c>
      <c r="F30" s="4">
        <v>0.0103</v>
      </c>
      <c r="G30" s="4">
        <v>210.0466</v>
      </c>
      <c r="H30" s="4">
        <v>0.0412</v>
      </c>
      <c r="I30">
        <f t="shared" si="0"/>
        <v>0.00053045</v>
      </c>
      <c r="K30">
        <f>$A30*(($V$6-SQRT(($C30-$Q$6)^2+($E30-$Q$7)^2))^2)/($I30+0.00000000000000000001)</f>
        <v>0.6848398510462314</v>
      </c>
      <c r="M30">
        <f t="shared" si="3"/>
        <v>1</v>
      </c>
      <c r="N30">
        <v>8</v>
      </c>
      <c r="O30">
        <f t="shared" si="1"/>
        <v>-77.546</v>
      </c>
      <c r="P30">
        <f t="shared" si="2"/>
        <v>33.4163</v>
      </c>
      <c r="Q30">
        <f>$W$25+$V$6*COS(($W$29+($N30-1)*($W$30-$W$29)/19)*$B$1/180)</f>
        <v>-78.55721547862308</v>
      </c>
      <c r="R30">
        <f>$W$26+$V$6*SIN(($W$29+($N30-1)*($W$30-$W$29)/19)*$B$1/180)</f>
        <v>33.94371520803384</v>
      </c>
      <c r="V30" t="s">
        <v>31</v>
      </c>
      <c r="W30">
        <f>90*(1+$I$8)+ATAN(($E$30-$W$26)/($C$30-$W$25))*180/$B$1</f>
        <v>236.82730076476932</v>
      </c>
    </row>
    <row r="31" spans="11:23" ht="12.75">
      <c r="K31" t="s">
        <v>19</v>
      </c>
      <c r="M31">
        <f t="shared" si="3"/>
        <v>1</v>
      </c>
      <c r="N31">
        <v>9</v>
      </c>
      <c r="O31">
        <f t="shared" si="1"/>
        <v>-83.2522</v>
      </c>
      <c r="P31">
        <f t="shared" si="2"/>
        <v>36.3262</v>
      </c>
      <c r="Q31">
        <f>$W$25+$V$6*COS(($W$29+($N31-1)*($W$30-$W$29)/19)*$B$1/180)</f>
        <v>-84.40236601815198</v>
      </c>
      <c r="R31">
        <f>$W$26+$V$6*SIN(($W$29+($N31-1)*($W$30-$W$29)/19)*$B$1/180)</f>
        <v>36.931138246355886</v>
      </c>
      <c r="V31" t="s">
        <v>32</v>
      </c>
      <c r="W31">
        <f>90*(1+$I$6)+ATAN((-$W$26)/(-$W$25))*180/$B$1</f>
        <v>250.11463736131688</v>
      </c>
    </row>
    <row r="32" spans="10:23" ht="12.75">
      <c r="J32" t="s">
        <v>46</v>
      </c>
      <c r="K32">
        <f>SUM(K11:K30)/$C$3</f>
        <v>0.5322892602664095</v>
      </c>
      <c r="M32">
        <f t="shared" si="3"/>
        <v>1</v>
      </c>
      <c r="N32">
        <v>10</v>
      </c>
      <c r="O32">
        <f t="shared" si="1"/>
        <v>-91.345</v>
      </c>
      <c r="P32">
        <f t="shared" si="2"/>
        <v>40.5502</v>
      </c>
      <c r="Q32">
        <f>$W$25+$V$6*COS(($W$29+($N32-1)*($W$30-$W$29)/19)*$B$1/180)</f>
        <v>-90.21960301642193</v>
      </c>
      <c r="R32">
        <f>$W$26+$V$6*SIN(($W$29+($N32-1)*($W$30-$W$29)/19)*$B$1/180)</f>
        <v>39.97255813608058</v>
      </c>
      <c r="V32" t="s">
        <v>33</v>
      </c>
      <c r="W32">
        <f>W24-SQRT(W26^2+W25^2)</f>
        <v>-0.03433348098724309</v>
      </c>
    </row>
    <row r="33" spans="13:23" ht="12.75">
      <c r="M33">
        <f t="shared" si="3"/>
        <v>1</v>
      </c>
      <c r="N33">
        <v>11</v>
      </c>
      <c r="O33">
        <f t="shared" si="1"/>
        <v>-96.9897</v>
      </c>
      <c r="P33">
        <f t="shared" si="2"/>
        <v>43.6123</v>
      </c>
      <c r="Q33">
        <f>$W$25+$V$6*COS(($W$29+($N33-1)*($W$30-$W$29)/19)*$B$1/180)</f>
        <v>-96.00842767006904</v>
      </c>
      <c r="R33">
        <f>$W$26+$V$6*SIN(($W$29+($N33-1)*($W$30-$W$29)/19)*$B$1/180)</f>
        <v>43.06771408837062</v>
      </c>
      <c r="V33" t="s">
        <v>11</v>
      </c>
      <c r="W33">
        <f>1.5*W24/100*0.299792458</f>
        <v>3.18783860525613</v>
      </c>
    </row>
    <row r="34" spans="13:23" ht="12.75">
      <c r="M34">
        <f t="shared" si="3"/>
        <v>1</v>
      </c>
      <c r="N34">
        <v>12</v>
      </c>
      <c r="O34">
        <f t="shared" si="1"/>
        <v>-102.6177</v>
      </c>
      <c r="P34">
        <f t="shared" si="2"/>
        <v>46.7095</v>
      </c>
      <c r="Q34">
        <f>$W$25+$V$6*COS(($W$29+($N34-1)*($W$30-$W$29)/19)*$B$1/180)</f>
        <v>-101.76834361196362</v>
      </c>
      <c r="R34">
        <f>$W$26+$V$6*SIN(($W$29+($N34-1)*($W$30-$W$29)/19)*$B$1/180)</f>
        <v>46.216340706747815</v>
      </c>
      <c r="V34" t="s">
        <v>0</v>
      </c>
      <c r="W34">
        <f>-$I$5*SIN(W31*$B$1/180)*W33</f>
        <v>-2.997763892410371</v>
      </c>
    </row>
    <row r="35" spans="13:23" ht="12.75">
      <c r="M35">
        <f t="shared" si="3"/>
        <v>1</v>
      </c>
      <c r="N35">
        <v>13</v>
      </c>
      <c r="O35">
        <f t="shared" si="1"/>
        <v>-108.2383</v>
      </c>
      <c r="P35">
        <f t="shared" si="2"/>
        <v>49.828</v>
      </c>
      <c r="Q35">
        <f>$W$25+$V$6*COS(($W$29+($N35-1)*($W$30-$W$29)/19)*$B$1/180)</f>
        <v>-107.49885695378052</v>
      </c>
      <c r="R35">
        <f>$W$26+$V$6*SIN(($W$29+($N35-1)*($W$30-$W$29)/19)*$B$1/180)</f>
        <v>49.41816800985441</v>
      </c>
      <c r="V35" t="s">
        <v>1</v>
      </c>
      <c r="W35">
        <f>$I$5*COS(W31*$B$1/180)*W33</f>
        <v>1.084309281765111</v>
      </c>
    </row>
    <row r="36" spans="13:23" ht="12.75">
      <c r="M36">
        <f t="shared" si="3"/>
        <v>1</v>
      </c>
      <c r="N36">
        <v>14</v>
      </c>
      <c r="O36">
        <f t="shared" si="1"/>
        <v>-113.814</v>
      </c>
      <c r="P36">
        <f t="shared" si="2"/>
        <v>53.0414</v>
      </c>
      <c r="Q36">
        <f>$W$25+$V$6*COS(($W$29+($N36-1)*($W$30-$W$29)/19)*$B$1/180)</f>
        <v>-113.19947632833853</v>
      </c>
      <c r="R36">
        <f>$W$26+$V$6*SIN(($W$29+($N36-1)*($W$30-$W$29)/19)*$B$1/180)</f>
        <v>52.672921454597486</v>
      </c>
      <c r="V36" t="s">
        <v>12</v>
      </c>
      <c r="W36">
        <f>W33/TAN($W$28*$B$1/180)</f>
        <v>4.062187231328051</v>
      </c>
    </row>
    <row r="37" spans="13:23" ht="12.75">
      <c r="M37">
        <f t="shared" si="3"/>
        <v>1</v>
      </c>
      <c r="N37">
        <v>15</v>
      </c>
      <c r="O37">
        <f t="shared" si="1"/>
        <v>-119.369</v>
      </c>
      <c r="P37">
        <f t="shared" si="2"/>
        <v>56.2904</v>
      </c>
      <c r="Q37">
        <f>$W$25+$V$6*COS(($W$29+($N37-1)*($W$30-$W$29)/19)*$B$1/180)</f>
        <v>-118.86971293173863</v>
      </c>
      <c r="R37">
        <f>$W$26+$V$6*SIN(($W$29+($N37-1)*($W$30-$W$29)/19)*$B$1/180)</f>
        <v>55.98032195969313</v>
      </c>
      <c r="V37" t="s">
        <v>13</v>
      </c>
      <c r="W37">
        <f>SQRT($W$34^2+$W$35^2+$W$36^2)</f>
        <v>5.163688611402319</v>
      </c>
    </row>
    <row r="38" spans="13:23" ht="12.75">
      <c r="M38">
        <f t="shared" si="3"/>
        <v>1</v>
      </c>
      <c r="N38">
        <v>16</v>
      </c>
      <c r="O38">
        <f t="shared" si="1"/>
        <v>-124.9052</v>
      </c>
      <c r="P38">
        <f t="shared" si="2"/>
        <v>59.5893</v>
      </c>
      <c r="Q38">
        <f>$W$25+$V$6*COS(($W$29+($N38-1)*($W$30-$W$29)/19)*$B$1/180)</f>
        <v>-124.50908056527695</v>
      </c>
      <c r="R38">
        <f>$W$26+$V$6*SIN(($W$29+($N38-1)*($W$30-$W$29)/19)*$B$1/180)</f>
        <v>59.34008592959651</v>
      </c>
      <c r="V38" t="s">
        <v>15</v>
      </c>
      <c r="W38">
        <v>0.14</v>
      </c>
    </row>
    <row r="39" spans="13:23" ht="12.75">
      <c r="M39">
        <f t="shared" si="3"/>
        <v>1</v>
      </c>
      <c r="N39">
        <v>17</v>
      </c>
      <c r="O39">
        <f t="shared" si="1"/>
        <v>-130.4133</v>
      </c>
      <c r="P39">
        <f t="shared" si="2"/>
        <v>62.9444</v>
      </c>
      <c r="Q39">
        <f>$W$25+$V$6*COS(($W$29+($N39-1)*($W$30-$W$29)/19)*$B$1/180)</f>
        <v>-130.11709567712958</v>
      </c>
      <c r="R39">
        <f>$W$26+$V$6*SIN(($W$29+($N39-1)*($W$30-$W$29)/19)*$B$1/180)</f>
        <v>62.751925278816316</v>
      </c>
      <c r="V39" t="s">
        <v>14</v>
      </c>
      <c r="W39">
        <f>W38^2+W37^2</f>
        <v>26.683280075526007</v>
      </c>
    </row>
    <row r="40" spans="13:23" ht="12.75">
      <c r="M40">
        <f t="shared" si="3"/>
        <v>1</v>
      </c>
      <c r="N40">
        <v>18</v>
      </c>
      <c r="O40">
        <f t="shared" si="1"/>
        <v>-135.8869</v>
      </c>
      <c r="P40">
        <f t="shared" si="2"/>
        <v>66.3638</v>
      </c>
      <c r="Q40">
        <f>$W$25+$V$6*COS(($W$29+($N40-1)*($W$30-$W$29)/19)*$B$1/180)</f>
        <v>-135.69327740382087</v>
      </c>
      <c r="R40">
        <f>$W$26+$V$6*SIN(($W$29+($N40-1)*($W$30-$W$29)/19)*$B$1/180)</f>
        <v>66.21554745662024</v>
      </c>
      <c r="V40" t="s">
        <v>34</v>
      </c>
      <c r="W40">
        <f>SQRT(W39)</f>
        <v>5.165586130878664</v>
      </c>
    </row>
    <row r="41" spans="13:18" ht="12.75">
      <c r="M41">
        <f t="shared" si="3"/>
        <v>1</v>
      </c>
      <c r="N41">
        <v>19</v>
      </c>
      <c r="O41">
        <f t="shared" si="1"/>
        <v>-141.3456</v>
      </c>
      <c r="P41">
        <f t="shared" si="2"/>
        <v>69.7871</v>
      </c>
      <c r="Q41">
        <f>$W$25+$V$6*COS(($W$29+($N41-1)*($W$30-$W$29)/19)*$B$1/180)</f>
        <v>-141.23714761145052</v>
      </c>
      <c r="R41">
        <f>$W$26+$V$6*SIN(($W$29+($N41-1)*($W$30-$W$29)/19)*$B$1/180)</f>
        <v>69.73065547211695</v>
      </c>
    </row>
    <row r="42" spans="13:18" ht="12.75">
      <c r="M42">
        <f t="shared" si="3"/>
        <v>1</v>
      </c>
      <c r="N42">
        <v>20</v>
      </c>
      <c r="O42">
        <f t="shared" si="1"/>
        <v>-146.7378</v>
      </c>
      <c r="P42">
        <f t="shared" si="2"/>
        <v>73.3129</v>
      </c>
      <c r="Q42">
        <f>$W$25+$V$6*COS(($W$29+($N42-1)*($W$30-$W$29)/19)*$B$1/180)</f>
        <v>-146.74823093669536</v>
      </c>
      <c r="R42">
        <f>$W$26+$V$6*SIN(($W$29+($N42-1)*($W$30-$W$29)/19)*$B$1/180)</f>
        <v>73.29694791972429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8"/>
  <sheetViews>
    <sheetView workbookViewId="0" topLeftCell="K20">
      <selection activeCell="S49" sqref="S48:S49"/>
    </sheetView>
  </sheetViews>
  <sheetFormatPr defaultColWidth="9.140625" defaultRowHeight="12.75"/>
  <cols>
    <col min="22" max="22" width="12.8515625" style="0" customWidth="1"/>
  </cols>
  <sheetData>
    <row r="1" spans="1:21" ht="13.5" thickBot="1">
      <c r="A1" t="s">
        <v>47</v>
      </c>
      <c r="B1">
        <v>3.14159265</v>
      </c>
      <c r="E1" t="s">
        <v>103</v>
      </c>
      <c r="I1" t="s">
        <v>104</v>
      </c>
      <c r="N1" s="1" t="s">
        <v>41</v>
      </c>
      <c r="O1">
        <v>1000</v>
      </c>
      <c r="P1">
        <v>100</v>
      </c>
      <c r="Q1">
        <v>10</v>
      </c>
      <c r="R1">
        <v>1</v>
      </c>
      <c r="S1">
        <v>0.1</v>
      </c>
      <c r="T1">
        <v>0.01</v>
      </c>
      <c r="U1">
        <v>0.001</v>
      </c>
    </row>
    <row r="2" spans="6:22" ht="14.25" thickBot="1" thickTop="1">
      <c r="F2" t="s">
        <v>6</v>
      </c>
      <c r="G2">
        <f>(E30-$E$11)/(C30-C11)</f>
        <v>2.61920344656104</v>
      </c>
      <c r="J2" s="1" t="s">
        <v>8</v>
      </c>
      <c r="K2">
        <f>-1/G2</f>
        <v>-0.38179546583637075</v>
      </c>
      <c r="N2" s="2">
        <v>1</v>
      </c>
      <c r="O2" s="2">
        <v>0</v>
      </c>
      <c r="P2" s="2">
        <v>0</v>
      </c>
      <c r="Q2" s="2">
        <v>7</v>
      </c>
      <c r="R2" s="2">
        <v>0</v>
      </c>
      <c r="S2" s="2">
        <v>2</v>
      </c>
      <c r="T2" s="2">
        <v>6</v>
      </c>
      <c r="U2" s="2">
        <v>9</v>
      </c>
      <c r="V2" t="s">
        <v>37</v>
      </c>
    </row>
    <row r="3" spans="2:22" ht="14.25" thickBot="1" thickTop="1">
      <c r="B3" t="s">
        <v>16</v>
      </c>
      <c r="C3" s="3">
        <f>SUM(A11:A30)</f>
        <v>13</v>
      </c>
      <c r="F3" t="s">
        <v>7</v>
      </c>
      <c r="G3">
        <f>E11-C11*G2</f>
        <v>-107.92244204026314</v>
      </c>
      <c r="J3" t="s">
        <v>102</v>
      </c>
      <c r="K3">
        <f>-K2*($C$30+$C$11)/2+($E$30+$E$11)/2</f>
        <v>-70.06319021096797</v>
      </c>
      <c r="N3" s="2">
        <v>-1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4</v>
      </c>
      <c r="U3" s="2">
        <v>0</v>
      </c>
      <c r="V3" t="s">
        <v>18</v>
      </c>
    </row>
    <row r="4" spans="5:22" ht="14.25" thickBot="1" thickTop="1">
      <c r="E4" t="s">
        <v>22</v>
      </c>
      <c r="G4">
        <f>SQRT((C30-C11)^2+(E30-E11)^2)</f>
        <v>108.80724683742346</v>
      </c>
      <c r="N4" s="2">
        <v>1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5</v>
      </c>
      <c r="U4" s="2">
        <v>5</v>
      </c>
      <c r="V4" t="s">
        <v>17</v>
      </c>
    </row>
    <row r="5" spans="9:10" ht="13.5" thickTop="1">
      <c r="I5">
        <f>($V$36-$V$35)/(ABS($V$36-$V$35)+0.00000000000000000001)</f>
        <v>-1</v>
      </c>
      <c r="J5" t="s">
        <v>72</v>
      </c>
    </row>
    <row r="6" spans="9:22" ht="12.75">
      <c r="I6">
        <f>$V$31/(ABS(-$V$31)+0.00000000000000000001)</f>
        <v>-1</v>
      </c>
      <c r="J6" t="s">
        <v>70</v>
      </c>
      <c r="P6" t="s">
        <v>39</v>
      </c>
      <c r="Q6">
        <f>($C$30+$C$11)/2+$G$7*SQRT($Q$8^2*$G$2^2/(1+$G$2^2))+$V$7</f>
        <v>-28.973628300145506</v>
      </c>
      <c r="U6" t="s">
        <v>95</v>
      </c>
      <c r="V6">
        <f>MAX(G4/2,N2*(1000*O2+100*P2+10*Q2+R2+0.1*S2+0.01*T2+0.001*U2))</f>
        <v>70.269</v>
      </c>
    </row>
    <row r="7" spans="6:22" ht="12.75">
      <c r="F7" t="s">
        <v>20</v>
      </c>
      <c r="G7">
        <f>((E14-G3)/G2-C14)/(0.00000000000000000001+ABS((E14-G3)/G2-C14))</f>
        <v>-1</v>
      </c>
      <c r="I7">
        <f>-($C$11-$V$31)/(ABS($C$11-$V$31)+0.00000000000000000001)</f>
        <v>-1</v>
      </c>
      <c r="J7" t="s">
        <v>71</v>
      </c>
      <c r="P7" t="s">
        <v>40</v>
      </c>
      <c r="Q7">
        <f>($E$30+$E$11)/2+$G$8*SQRT($Q$8^2/(1+$G$2^2))+$V$8</f>
        <v>-58.96146211577752</v>
      </c>
      <c r="U7" t="s">
        <v>42</v>
      </c>
      <c r="V7">
        <f>N3*(1000*O3+100*P3+10*Q3+R3+0.1*S3+0.01*T3+0.001*U3)</f>
        <v>-0.04</v>
      </c>
    </row>
    <row r="8" spans="6:22" ht="12.75">
      <c r="F8" t="s">
        <v>21</v>
      </c>
      <c r="G8">
        <f>(G2*C14+G3-E14)/(0.00000000000000000001+ABS(G2*C14+G3-E14))</f>
        <v>1</v>
      </c>
      <c r="I8">
        <f>-($C$30-$V$31)/(ABS($C$30-$V$31)+0.00000000000000000001)</f>
        <v>-1</v>
      </c>
      <c r="J8" t="s">
        <v>69</v>
      </c>
      <c r="O8" t="s">
        <v>38</v>
      </c>
      <c r="Q8">
        <f>SQRT(V30^2-(G4/2)^2)</f>
        <v>44.47446593175686</v>
      </c>
      <c r="U8" t="s">
        <v>43</v>
      </c>
      <c r="V8">
        <f>N4*(1000*O4+100*P4+10*Q4+R4+0.1*S4+0.01*T4+0.001*U4)</f>
        <v>0.055</v>
      </c>
    </row>
    <row r="9" spans="21:22" ht="12.75">
      <c r="U9" s="5" t="s">
        <v>44</v>
      </c>
      <c r="V9" s="7">
        <f>K32</f>
        <v>0.7997872838046873</v>
      </c>
    </row>
    <row r="10" spans="1:10" ht="12.75">
      <c r="A10" t="s">
        <v>48</v>
      </c>
      <c r="B10" t="s">
        <v>4</v>
      </c>
      <c r="C10" t="s">
        <v>2</v>
      </c>
      <c r="D10" t="s">
        <v>5</v>
      </c>
      <c r="E10" t="s">
        <v>3</v>
      </c>
      <c r="F10" t="s">
        <v>27</v>
      </c>
      <c r="G10" t="s">
        <v>29</v>
      </c>
      <c r="H10" t="s">
        <v>28</v>
      </c>
      <c r="I10" t="s">
        <v>10</v>
      </c>
      <c r="J10" t="s">
        <v>45</v>
      </c>
    </row>
    <row r="11" spans="1:11" ht="12.75">
      <c r="A11">
        <v>1</v>
      </c>
      <c r="B11" t="s">
        <v>49</v>
      </c>
      <c r="C11" s="4">
        <v>32.0204</v>
      </c>
      <c r="D11" s="4">
        <v>0.055</v>
      </c>
      <c r="E11" s="4">
        <v>-24.0545</v>
      </c>
      <c r="F11" s="4">
        <v>0.0413</v>
      </c>
      <c r="G11" s="4">
        <v>30.7524</v>
      </c>
      <c r="H11" s="4">
        <v>0.0595</v>
      </c>
      <c r="I11">
        <f aca="true" t="shared" si="0" ref="I11:I30">(D11^2+F11^2)</f>
        <v>0.00473069</v>
      </c>
      <c r="K11">
        <f>$A11*(($V$6-SQRT(($C11-$Q$6)^2+($E11-$Q$7)^2))^2)/($I11+0.00000000000000000001)</f>
        <v>0.011466567868705512</v>
      </c>
    </row>
    <row r="12" spans="1:11" ht="12.75">
      <c r="A12">
        <v>1</v>
      </c>
      <c r="B12">
        <v>2</v>
      </c>
      <c r="C12" s="4">
        <v>35.232</v>
      </c>
      <c r="D12" s="4">
        <v>0.0558</v>
      </c>
      <c r="E12" s="4">
        <v>-30.2585</v>
      </c>
      <c r="F12" s="4">
        <v>0.0479</v>
      </c>
      <c r="G12" s="4">
        <v>33.9687</v>
      </c>
      <c r="H12" s="4">
        <v>0.062</v>
      </c>
      <c r="I12">
        <f t="shared" si="0"/>
        <v>0.00540805</v>
      </c>
      <c r="K12">
        <f>$A12*(($V$6-SQRT(($C12-$Q$6)^2+($E12-$Q$7)^2))^2)/($I12+0.00000000000000000001)</f>
        <v>0.6742993471935059</v>
      </c>
    </row>
    <row r="13" spans="1:11" ht="12.75">
      <c r="A13">
        <v>1</v>
      </c>
      <c r="B13">
        <v>3</v>
      </c>
      <c r="C13" s="4">
        <v>37.6331</v>
      </c>
      <c r="D13" s="4">
        <v>0.0564</v>
      </c>
      <c r="E13" s="4">
        <v>-37.0906</v>
      </c>
      <c r="F13" s="4">
        <v>0.0556</v>
      </c>
      <c r="G13" s="4">
        <v>37.276</v>
      </c>
      <c r="H13" s="4">
        <v>0.0609</v>
      </c>
      <c r="I13">
        <f t="shared" si="0"/>
        <v>0.00627232</v>
      </c>
      <c r="K13">
        <f>$A13*(($V$6-SQRT(($C13-$Q$6)^2+($E13-$Q$7)^2))^2)/($I13+0.00000000000000000001)</f>
        <v>4.2583210891938155</v>
      </c>
    </row>
    <row r="14" spans="1:11" ht="12.75">
      <c r="A14">
        <v>1</v>
      </c>
      <c r="B14">
        <v>4</v>
      </c>
      <c r="C14" s="4">
        <v>39.7397</v>
      </c>
      <c r="D14" s="4">
        <v>0.0576</v>
      </c>
      <c r="E14" s="4">
        <v>-43.913</v>
      </c>
      <c r="F14" s="4">
        <v>0.0636</v>
      </c>
      <c r="G14" s="4">
        <v>40.5942</v>
      </c>
      <c r="H14" s="4">
        <v>0.0576</v>
      </c>
      <c r="I14">
        <f t="shared" si="0"/>
        <v>0.00736272</v>
      </c>
      <c r="K14">
        <f>$A14*(($V$6-SQRT(($C14-$Q$6)^2+($E14-$Q$7)^2))^2)/($I14+0.00000000000000000001)</f>
        <v>0.7210684193042576</v>
      </c>
    </row>
    <row r="15" spans="1:11" ht="12.75">
      <c r="A15">
        <v>1</v>
      </c>
      <c r="B15">
        <v>5</v>
      </c>
      <c r="C15" s="4">
        <v>40.8398</v>
      </c>
      <c r="D15" s="4">
        <v>0.1184</v>
      </c>
      <c r="E15" s="4">
        <v>-51.3403</v>
      </c>
      <c r="F15" s="4">
        <v>0.1488</v>
      </c>
      <c r="G15" s="4">
        <v>44.1703</v>
      </c>
      <c r="H15" s="4">
        <v>0.158</v>
      </c>
      <c r="I15">
        <f t="shared" si="0"/>
        <v>0.03616</v>
      </c>
      <c r="K15">
        <f>$A15*(($V$6-SQRT(($C15-$Q$6)^2+($E15-$Q$7)^2))^2)/($I15+0.00000000000000000001)</f>
        <v>0.0460867002870738</v>
      </c>
    </row>
    <row r="16" spans="1:11" ht="12.75">
      <c r="A16">
        <v>1</v>
      </c>
      <c r="B16">
        <v>6</v>
      </c>
      <c r="C16" s="4">
        <v>41.5998</v>
      </c>
      <c r="D16" s="4">
        <v>0.1206</v>
      </c>
      <c r="E16" s="4">
        <v>-58.7421</v>
      </c>
      <c r="F16" s="4">
        <v>0.1703</v>
      </c>
      <c r="G16" s="4">
        <v>47.4091</v>
      </c>
      <c r="H16" s="4">
        <v>0.158</v>
      </c>
      <c r="I16">
        <f t="shared" si="0"/>
        <v>0.04354645</v>
      </c>
      <c r="K16">
        <f>$A16*(($V$6-SQRT(($C16-$Q$6)^2+($E16-$Q$7)^2))^2)/($I16+0.00000000000000000001)</f>
        <v>2.1329930875346603</v>
      </c>
    </row>
    <row r="17" spans="1:11" ht="12.75">
      <c r="A17">
        <v>1</v>
      </c>
      <c r="B17">
        <v>7</v>
      </c>
      <c r="C17" s="4">
        <v>39.319</v>
      </c>
      <c r="D17" s="4">
        <v>0.0563</v>
      </c>
      <c r="E17" s="4">
        <v>-75.16</v>
      </c>
      <c r="F17" s="4">
        <v>0.1077</v>
      </c>
      <c r="G17" s="4">
        <v>55.3716</v>
      </c>
      <c r="H17" s="4">
        <v>0.0624</v>
      </c>
      <c r="I17">
        <f t="shared" si="0"/>
        <v>0.014768980000000001</v>
      </c>
      <c r="K17">
        <f>$A17*(($V$6-SQRT(($C17-$Q$6)^2+($E17-$Q$7)^2))^2)/($I17+0.00000000000000000001)</f>
        <v>0.4504863303052577</v>
      </c>
    </row>
    <row r="18" spans="1:11" ht="12.75">
      <c r="A18">
        <v>1</v>
      </c>
      <c r="B18">
        <v>8</v>
      </c>
      <c r="C18" s="4">
        <v>37.0263</v>
      </c>
      <c r="D18" s="4">
        <v>0.0544</v>
      </c>
      <c r="E18" s="4">
        <v>-83.3652</v>
      </c>
      <c r="F18" s="4">
        <v>0.1225</v>
      </c>
      <c r="G18" s="4">
        <v>59.3105</v>
      </c>
      <c r="H18" s="4">
        <v>0.0562</v>
      </c>
      <c r="I18">
        <f t="shared" si="0"/>
        <v>0.01796561</v>
      </c>
      <c r="K18">
        <f>$A18*(($V$6-SQRT(($C18-$Q$6)^2+($E18-$Q$7)^2))^2)/($I18+0.00000000000000000001)</f>
        <v>0.5359940750915222</v>
      </c>
    </row>
    <row r="19" spans="1:11" ht="12.75">
      <c r="A19">
        <v>1</v>
      </c>
      <c r="B19">
        <v>9</v>
      </c>
      <c r="C19" s="4">
        <v>30.9202</v>
      </c>
      <c r="D19" s="4">
        <v>0.1014</v>
      </c>
      <c r="E19" s="4">
        <v>-95.4177</v>
      </c>
      <c r="F19" s="4">
        <v>0.313</v>
      </c>
      <c r="G19" s="4">
        <v>65.5229</v>
      </c>
      <c r="H19" s="4">
        <v>0.158</v>
      </c>
      <c r="I19">
        <f t="shared" si="0"/>
        <v>0.10825096000000001</v>
      </c>
      <c r="K19">
        <f>$A19*(($V$6-SQRT(($C19-$Q$6)^2+($E19-$Q$7)^2))^2)/($I19+0.00000000000000000001)</f>
        <v>0.21474850199121884</v>
      </c>
    </row>
    <row r="20" spans="1:11" ht="12.75">
      <c r="A20">
        <v>1</v>
      </c>
      <c r="B20">
        <v>10</v>
      </c>
      <c r="C20" s="4">
        <v>24.5912</v>
      </c>
      <c r="D20" s="4">
        <v>0.0862</v>
      </c>
      <c r="E20" s="4">
        <v>-103.8926</v>
      </c>
      <c r="F20" s="4">
        <v>0.3643</v>
      </c>
      <c r="G20" s="4">
        <v>70.1828</v>
      </c>
      <c r="H20" s="4">
        <v>0.0935</v>
      </c>
      <c r="I20">
        <f t="shared" si="0"/>
        <v>0.14014493000000003</v>
      </c>
      <c r="K20">
        <f>$A20*(($V$6-SQRT(($C20-$Q$6)^2+($E20-$Q$7)^2))^2)/($I20+0.00000000000000000001)</f>
        <v>0.8981398083184813</v>
      </c>
    </row>
    <row r="21" spans="1:11" ht="12.75">
      <c r="A21">
        <v>1</v>
      </c>
      <c r="B21">
        <v>11</v>
      </c>
      <c r="C21" s="4">
        <v>17.5185</v>
      </c>
      <c r="D21" s="4">
        <v>0.0317</v>
      </c>
      <c r="E21" s="4">
        <v>-111.7764</v>
      </c>
      <c r="F21" s="4">
        <v>0.202</v>
      </c>
      <c r="G21" s="4">
        <v>75.2152</v>
      </c>
      <c r="H21" s="4">
        <v>0.0561</v>
      </c>
      <c r="I21">
        <f t="shared" si="0"/>
        <v>0.04180889000000001</v>
      </c>
      <c r="K21">
        <f>$A21*(($V$6-SQRT(($C21-$Q$6)^2+($E21-$Q$7)^2))^2)/($I21+0.00000000000000000001)</f>
        <v>0.21082811300937318</v>
      </c>
    </row>
    <row r="22" spans="1:11" ht="12.75">
      <c r="A22">
        <v>1</v>
      </c>
      <c r="B22">
        <v>12</v>
      </c>
      <c r="C22" s="4">
        <v>6.4689</v>
      </c>
      <c r="D22" s="4">
        <v>0.0282</v>
      </c>
      <c r="E22" s="4">
        <v>-119.3431</v>
      </c>
      <c r="F22" s="4">
        <v>0.5204</v>
      </c>
      <c r="G22" s="4">
        <v>81.359</v>
      </c>
      <c r="H22" s="4">
        <v>0.158</v>
      </c>
      <c r="I22">
        <f t="shared" si="0"/>
        <v>0.27161139999999995</v>
      </c>
      <c r="K22">
        <f>$A22*(($V$6-SQRT(($C22-$Q$6)^2+($E22-$Q$7)^2))^2)/($I22+0.00000000000000000001)</f>
        <v>0.23733315009933315</v>
      </c>
    </row>
    <row r="23" spans="1:11" ht="12.75">
      <c r="A23">
        <v>0</v>
      </c>
      <c r="B23">
        <v>13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>
        <f t="shared" si="0"/>
        <v>0</v>
      </c>
      <c r="K23">
        <f>$A23*(($V$6-SQRT(($C23-$Q$6)^2+($E23-$Q$7)^2))^2)/($I23+0.00000000000000000001)</f>
        <v>0</v>
      </c>
    </row>
    <row r="24" spans="1:11" ht="12.75">
      <c r="A24">
        <v>0</v>
      </c>
      <c r="B24">
        <v>14</v>
      </c>
      <c r="C24" s="4">
        <v>0</v>
      </c>
      <c r="D24">
        <v>0</v>
      </c>
      <c r="E24" s="4">
        <v>0</v>
      </c>
      <c r="F24" s="4">
        <v>0</v>
      </c>
      <c r="G24" s="4">
        <v>0</v>
      </c>
      <c r="H24" s="4">
        <v>0</v>
      </c>
      <c r="I24">
        <f t="shared" si="0"/>
        <v>0</v>
      </c>
      <c r="K24">
        <f>$A24*(($V$6-SQRT(($C24-$Q$6)^2+($E24-$Q$7)^2))^2)/($I24+0.00000000000000000001)</f>
        <v>0</v>
      </c>
    </row>
    <row r="25" spans="1:11" ht="12.75">
      <c r="A25">
        <v>0</v>
      </c>
      <c r="B25">
        <v>15</v>
      </c>
      <c r="C25" s="4">
        <v>0</v>
      </c>
      <c r="D25">
        <v>0</v>
      </c>
      <c r="E25" s="4">
        <v>0</v>
      </c>
      <c r="F25" s="4">
        <v>0</v>
      </c>
      <c r="G25" s="4">
        <v>0</v>
      </c>
      <c r="H25" s="4">
        <v>0</v>
      </c>
      <c r="I25">
        <f t="shared" si="0"/>
        <v>0</v>
      </c>
      <c r="K25">
        <f>$A25*(($V$6-SQRT(($C25-$Q$6)^2+($E25-$Q$7)^2))^2)/($I25+0.00000000000000000001)</f>
        <v>0</v>
      </c>
    </row>
    <row r="26" spans="1:11" ht="12.75">
      <c r="A26">
        <v>0</v>
      </c>
      <c r="B26">
        <v>16</v>
      </c>
      <c r="C26" s="4">
        <v>0</v>
      </c>
      <c r="D26">
        <v>0</v>
      </c>
      <c r="E26" s="4">
        <v>0</v>
      </c>
      <c r="F26" s="4">
        <v>0</v>
      </c>
      <c r="G26" s="4">
        <v>0</v>
      </c>
      <c r="H26" s="4">
        <v>0</v>
      </c>
      <c r="I26">
        <f t="shared" si="0"/>
        <v>0</v>
      </c>
      <c r="K26">
        <f>$A26*(($V$6-SQRT(($C26-$Q$6)^2+($E26-$Q$7)^2))^2)/($I26+0.00000000000000000001)</f>
        <v>0</v>
      </c>
    </row>
    <row r="27" spans="1:11" ht="12.75">
      <c r="A27">
        <v>0</v>
      </c>
      <c r="B27">
        <v>17</v>
      </c>
      <c r="C27" s="4">
        <v>0</v>
      </c>
      <c r="D27">
        <v>0</v>
      </c>
      <c r="E27" s="4">
        <v>0</v>
      </c>
      <c r="F27" s="4">
        <v>0</v>
      </c>
      <c r="G27" s="4">
        <v>0</v>
      </c>
      <c r="H27" s="4">
        <v>0</v>
      </c>
      <c r="I27">
        <f t="shared" si="0"/>
        <v>0</v>
      </c>
      <c r="K27">
        <f>$A27*(($V$6-SQRT(($C27-$Q$6)^2+($E27-$Q$7)^2))^2)/($I27+0.00000000000000000001)</f>
        <v>0</v>
      </c>
    </row>
    <row r="28" spans="1:18" ht="12.75">
      <c r="A28">
        <v>0</v>
      </c>
      <c r="B28">
        <v>18</v>
      </c>
      <c r="C28" s="4">
        <v>0</v>
      </c>
      <c r="D28">
        <v>0</v>
      </c>
      <c r="E28" s="4">
        <v>0</v>
      </c>
      <c r="F28" s="4">
        <v>0</v>
      </c>
      <c r="G28" s="4">
        <v>0</v>
      </c>
      <c r="H28" s="4">
        <v>0</v>
      </c>
      <c r="I28">
        <f t="shared" si="0"/>
        <v>0</v>
      </c>
      <c r="K28">
        <f>$A28*(($V$6-SQRT(($C28-$Q$6)^2+($E28-$Q$7)^2))^2)/($I28+0.00000000000000000001)</f>
        <v>0</v>
      </c>
      <c r="Q28" t="s">
        <v>25</v>
      </c>
      <c r="R28" t="s">
        <v>26</v>
      </c>
    </row>
    <row r="29" spans="1:21" ht="12.75">
      <c r="A29">
        <v>0</v>
      </c>
      <c r="B29">
        <v>19</v>
      </c>
      <c r="C29" s="4">
        <v>0</v>
      </c>
      <c r="D29">
        <v>0</v>
      </c>
      <c r="E29" s="4">
        <v>0</v>
      </c>
      <c r="F29" s="4">
        <v>0</v>
      </c>
      <c r="G29" s="4">
        <v>0</v>
      </c>
      <c r="H29" s="4">
        <v>0</v>
      </c>
      <c r="I29">
        <f t="shared" si="0"/>
        <v>0</v>
      </c>
      <c r="K29">
        <f>$A29*(($V$6-SQRT(($C29-$Q$6)^2+($E29-$Q$7)^2))^2)/($I29+0.00000000000000000001)</f>
        <v>0</v>
      </c>
      <c r="M29">
        <f aca="true" t="shared" si="1" ref="M29:M48">$A11</f>
        <v>1</v>
      </c>
      <c r="N29">
        <v>1</v>
      </c>
      <c r="O29">
        <f aca="true" t="shared" si="2" ref="O29:O48">$M29*C11</f>
        <v>32.0204</v>
      </c>
      <c r="P29">
        <f aca="true" t="shared" si="3" ref="P29:P48">$M29*E11</f>
        <v>-24.0545</v>
      </c>
      <c r="Q29">
        <f>$V$31+$V$6*COS(($V$35+($N29-1)*($V$36-$V$35)/19)*$B$1/180)</f>
        <v>32.0140077022741</v>
      </c>
      <c r="R29">
        <f>$V$32+$V$6*SIN(($V$35+($N29-1)*($V$36-$V$35)/19)*$B$1/180)</f>
        <v>-24.05815832034331</v>
      </c>
      <c r="U29" t="s">
        <v>58</v>
      </c>
    </row>
    <row r="30" spans="1:22" ht="12.75">
      <c r="A30">
        <v>1</v>
      </c>
      <c r="B30" t="s">
        <v>50</v>
      </c>
      <c r="C30" s="4">
        <v>-6.7893</v>
      </c>
      <c r="D30" s="4">
        <v>0.0473</v>
      </c>
      <c r="E30" s="4">
        <v>-125.705</v>
      </c>
      <c r="F30" s="4">
        <v>0.875</v>
      </c>
      <c r="G30" s="4">
        <v>87.9858</v>
      </c>
      <c r="H30" s="4">
        <v>0.158</v>
      </c>
      <c r="I30">
        <f t="shared" si="0"/>
        <v>0.76786229</v>
      </c>
      <c r="K30">
        <f>$A30*(($V$6-SQRT(($C30-$Q$6)^2+($E30-$Q$7)^2))^2)/($I30+0.00000000000000000001)</f>
        <v>0.005469499263729335</v>
      </c>
      <c r="M30">
        <f t="shared" si="1"/>
        <v>1</v>
      </c>
      <c r="N30">
        <v>2</v>
      </c>
      <c r="O30">
        <f t="shared" si="2"/>
        <v>35.232</v>
      </c>
      <c r="P30">
        <f t="shared" si="3"/>
        <v>-30.2585</v>
      </c>
      <c r="Q30">
        <f>$V$31+$V$6*COS(($V$35+($N30-1)*($V$36-$V$35)/19)*$B$1/180)</f>
        <v>34.99592951990799</v>
      </c>
      <c r="R30">
        <f>$V$32+$V$6*SIN(($V$35+($N30-1)*($V$36-$V$35)/19)*$B$1/180)</f>
        <v>-29.881777913454524</v>
      </c>
      <c r="U30" t="s">
        <v>23</v>
      </c>
      <c r="V30">
        <f>V6</f>
        <v>70.269</v>
      </c>
    </row>
    <row r="31" spans="11:22" ht="12.75">
      <c r="K31" t="s">
        <v>19</v>
      </c>
      <c r="M31">
        <f t="shared" si="1"/>
        <v>1</v>
      </c>
      <c r="N31">
        <v>3</v>
      </c>
      <c r="O31">
        <f t="shared" si="2"/>
        <v>37.6331</v>
      </c>
      <c r="P31">
        <f t="shared" si="3"/>
        <v>-37.0906</v>
      </c>
      <c r="Q31">
        <f>$V$31+$V$6*COS(($V$35+($N31-1)*($V$36-$V$35)/19)*$B$1/180)</f>
        <v>37.42328368084172</v>
      </c>
      <c r="R31">
        <f>$V$32+$V$6*SIN(($V$35+($N31-1)*($V$36-$V$35)/19)*$B$1/180)</f>
        <v>-35.95749636225936</v>
      </c>
      <c r="U31" t="s">
        <v>35</v>
      </c>
      <c r="V31">
        <f>$Q$6</f>
        <v>-28.973628300145506</v>
      </c>
    </row>
    <row r="32" spans="10:22" ht="12.75">
      <c r="J32" t="s">
        <v>101</v>
      </c>
      <c r="K32">
        <f>SUM(K11:K30)/$C$3</f>
        <v>0.7997872838046873</v>
      </c>
      <c r="M32">
        <f t="shared" si="1"/>
        <v>1</v>
      </c>
      <c r="N32">
        <v>4</v>
      </c>
      <c r="O32">
        <f t="shared" si="2"/>
        <v>39.7397</v>
      </c>
      <c r="P32">
        <f t="shared" si="3"/>
        <v>-43.913</v>
      </c>
      <c r="Q32">
        <f>$V$31+$V$6*COS(($V$35+($N32-1)*($V$36-$V$35)/19)*$B$1/180)</f>
        <v>39.27502686142442</v>
      </c>
      <c r="R32">
        <f>$V$32+$V$6*SIN(($V$35+($N32-1)*($V$36-$V$35)/19)*$B$1/180)</f>
        <v>-42.2326417856671</v>
      </c>
      <c r="U32" t="s">
        <v>36</v>
      </c>
      <c r="V32">
        <f>$Q$7</f>
        <v>-58.96146211577752</v>
      </c>
    </row>
    <row r="33" spans="13:18" ht="12.75">
      <c r="M33">
        <f t="shared" si="1"/>
        <v>1</v>
      </c>
      <c r="N33">
        <v>5</v>
      </c>
      <c r="O33">
        <f t="shared" si="2"/>
        <v>40.8398</v>
      </c>
      <c r="P33">
        <f t="shared" si="3"/>
        <v>-51.3403</v>
      </c>
      <c r="Q33">
        <f>$V$31+$V$6*COS(($V$35+($N33-1)*($V$36-$V$35)/19)*$B$1/180)</f>
        <v>40.53510584960553</v>
      </c>
      <c r="R33">
        <f>$V$32+$V$6*SIN(($V$35+($N33-1)*($V$36-$V$35)/19)*$B$1/180)</f>
        <v>-48.652813421635585</v>
      </c>
    </row>
    <row r="34" spans="13:22" ht="12.75">
      <c r="M34">
        <f t="shared" si="1"/>
        <v>1</v>
      </c>
      <c r="N34">
        <v>6</v>
      </c>
      <c r="O34">
        <f t="shared" si="2"/>
        <v>41.5998</v>
      </c>
      <c r="P34">
        <f t="shared" si="3"/>
        <v>-58.7421</v>
      </c>
      <c r="Q34">
        <f>$V$31+$V$6*COS(($V$35+($N34-1)*($V$36-$V$35)/19)*$B$1/180)</f>
        <v>41.19259671413485</v>
      </c>
      <c r="R34">
        <f>$V$32+$V$6*SIN(($V$35+($N34-1)*($V$36-$V$35)/19)*$B$1/180)</f>
        <v>-55.162353240609754</v>
      </c>
      <c r="U34" t="s">
        <v>30</v>
      </c>
      <c r="V34">
        <f>180/B1*ATAN(ABS((V36-V35))*B1/180*V30/(G30-G11))</f>
        <v>65.28621056454342</v>
      </c>
    </row>
    <row r="35" spans="13:22" ht="12.75">
      <c r="M35">
        <f t="shared" si="1"/>
        <v>1</v>
      </c>
      <c r="N35">
        <v>7</v>
      </c>
      <c r="O35">
        <f t="shared" si="2"/>
        <v>39.319</v>
      </c>
      <c r="P35">
        <f t="shared" si="3"/>
        <v>-75.16</v>
      </c>
      <c r="Q35">
        <f>$V$31+$V$6*COS(($V$35+($N35-1)*($V$36-$V$35)/19)*$B$1/180)</f>
        <v>41.24179950677966</v>
      </c>
      <c r="R35">
        <f>$V$32+$V$6*SIN(($V$35+($N35-1)*($V$36-$V$35)/19)*$B$1/180)</f>
        <v>-61.704828458518165</v>
      </c>
      <c r="U35" t="s">
        <v>24</v>
      </c>
      <c r="V35">
        <f>90*(1+$I$7)+ATAN(($E$11-$V$32)/($C$11-$V$31))*180/$B$1</f>
        <v>29.782562531652488</v>
      </c>
    </row>
    <row r="36" spans="13:22" ht="12.75">
      <c r="M36">
        <f t="shared" si="1"/>
        <v>1</v>
      </c>
      <c r="N36">
        <v>8</v>
      </c>
      <c r="O36">
        <f t="shared" si="2"/>
        <v>37.0263</v>
      </c>
      <c r="P36">
        <f t="shared" si="3"/>
        <v>-83.3652</v>
      </c>
      <c r="Q36">
        <f>$V$31+$V$6*COS(($V$35+($N36-1)*($V$36-$V$35)/19)*$B$1/180)</f>
        <v>40.68228767656241</v>
      </c>
      <c r="R36">
        <f>$V$32+$V$6*SIN(($V$35+($N36-1)*($V$36-$V$35)/19)*$B$1/180)</f>
        <v>-68.2235207663048</v>
      </c>
      <c r="U36" t="s">
        <v>31</v>
      </c>
      <c r="V36">
        <f>90*(1+$I$8)+ATAN(($E$30-$V$32)/($C$30-$V$31))*180/$B$1</f>
        <v>-71.614139143821</v>
      </c>
    </row>
    <row r="37" spans="13:22" ht="12.75">
      <c r="M37">
        <f t="shared" si="1"/>
        <v>1</v>
      </c>
      <c r="N37">
        <v>9</v>
      </c>
      <c r="O37">
        <f t="shared" si="2"/>
        <v>30.9202</v>
      </c>
      <c r="P37">
        <f t="shared" si="3"/>
        <v>-95.4177</v>
      </c>
      <c r="Q37">
        <f>$V$31+$V$6*COS(($V$35+($N37-1)*($V$36-$V$35)/19)*$B$1/180)</f>
        <v>39.518911767634975</v>
      </c>
      <c r="R37">
        <f>$V$32+$V$6*SIN(($V$35+($N37-1)*($V$36-$V$35)/19)*$B$1/180)</f>
        <v>-74.66191803474646</v>
      </c>
      <c r="U37" t="s">
        <v>32</v>
      </c>
      <c r="V37">
        <f>90*(1+$I$6)+ATAN((-$V$32)/(-$V$31))*180/$B$1</f>
        <v>63.83052504310719</v>
      </c>
    </row>
    <row r="38" spans="13:22" ht="12.75">
      <c r="M38">
        <f t="shared" si="1"/>
        <v>1</v>
      </c>
      <c r="N38">
        <v>10</v>
      </c>
      <c r="O38">
        <f t="shared" si="2"/>
        <v>24.5912</v>
      </c>
      <c r="P38">
        <f t="shared" si="3"/>
        <v>-103.8926</v>
      </c>
      <c r="Q38">
        <f>$V$31+$V$6*COS(($V$35+($N38-1)*($V$36-$V$35)/19)*$B$1/180)</f>
        <v>37.76175736873142</v>
      </c>
      <c r="R38">
        <f>$V$32+$V$6*SIN(($V$35+($N38-1)*($V$36-$V$35)/19)*$B$1/180)</f>
        <v>-80.96420423184699</v>
      </c>
      <c r="U38" t="s">
        <v>33</v>
      </c>
      <c r="V38">
        <f>V30-SQRT(V32^2+V31^2)</f>
        <v>4.57329883390193</v>
      </c>
    </row>
    <row r="39" spans="13:22" ht="12.75">
      <c r="M39">
        <f t="shared" si="1"/>
        <v>1</v>
      </c>
      <c r="N39">
        <v>11</v>
      </c>
      <c r="O39">
        <f t="shared" si="2"/>
        <v>17.5185</v>
      </c>
      <c r="P39">
        <f t="shared" si="3"/>
        <v>-111.7764</v>
      </c>
      <c r="Q39">
        <f>$V$31+$V$6*COS(($V$35+($N39-1)*($V$36-$V$35)/19)*$B$1/180)</f>
        <v>35.426057678746176</v>
      </c>
      <c r="R39">
        <f>$V$32+$V$6*SIN(($V$35+($N39-1)*($V$36-$V$35)/19)*$B$1/180)</f>
        <v>-87.0757433055953</v>
      </c>
      <c r="U39" t="s">
        <v>11</v>
      </c>
      <c r="V39">
        <f>1.5*V30/100*0.299792458</f>
        <v>0.31599174346803</v>
      </c>
    </row>
    <row r="40" spans="13:22" ht="12.75">
      <c r="M40">
        <f t="shared" si="1"/>
        <v>1</v>
      </c>
      <c r="N40">
        <v>12</v>
      </c>
      <c r="O40">
        <f t="shared" si="2"/>
        <v>6.4689</v>
      </c>
      <c r="P40">
        <f t="shared" si="3"/>
        <v>-119.3431</v>
      </c>
      <c r="Q40">
        <f>$V$31+$V$6*COS(($V$35+($N40-1)*($V$36-$V$35)/19)*$B$1/180)</f>
        <v>32.53206144642743</v>
      </c>
      <c r="R40">
        <f>$V$32+$V$6*SIN(($V$35+($N40-1)*($V$36-$V$35)/19)*$B$1/180)</f>
        <v>-92.94355283719008</v>
      </c>
      <c r="U40" t="s">
        <v>0</v>
      </c>
      <c r="V40">
        <f>-$I$5*SIN(V37*$B$1/180)*V39</f>
        <v>0.2836005230278803</v>
      </c>
    </row>
    <row r="41" spans="13:22" ht="12.75">
      <c r="M41">
        <f t="shared" si="1"/>
        <v>0</v>
      </c>
      <c r="N41">
        <v>13</v>
      </c>
      <c r="O41">
        <f t="shared" si="2"/>
        <v>0</v>
      </c>
      <c r="P41">
        <f t="shared" si="3"/>
        <v>0</v>
      </c>
      <c r="Q41">
        <f>$V$31+$V$6*COS(($V$35+($N41-1)*($V$36-$V$35)/19)*$B$1/180)</f>
        <v>29.1048574290489</v>
      </c>
      <c r="R41">
        <f>$V$32+$V$6*SIN(($V$35+($N41-1)*($V$36-$V$35)/19)*$B$1/180)</f>
        <v>-98.51676335851568</v>
      </c>
      <c r="U41" t="s">
        <v>1</v>
      </c>
      <c r="V41">
        <f>$I$5*COS(V37*$B$1/180)*V39</f>
        <v>-0.13936113259541924</v>
      </c>
    </row>
    <row r="42" spans="13:22" ht="12.75">
      <c r="M42">
        <f t="shared" si="1"/>
        <v>0</v>
      </c>
      <c r="N42">
        <v>14</v>
      </c>
      <c r="O42">
        <f t="shared" si="2"/>
        <v>0</v>
      </c>
      <c r="P42">
        <f t="shared" si="3"/>
        <v>0</v>
      </c>
      <c r="Q42">
        <f>$V$31+$V$6*COS(($V$35+($N42-1)*($V$36-$V$35)/19)*$B$1/180)</f>
        <v>25.17415689187051</v>
      </c>
      <c r="R42">
        <f>$V$32+$V$6*SIN(($V$35+($N42-1)*($V$36-$V$35)/19)*$B$1/180)</f>
        <v>-103.74705935193472</v>
      </c>
      <c r="U42" t="s">
        <v>12</v>
      </c>
      <c r="V42">
        <f>V39/TAN($V$34*$B$1/180)</f>
        <v>0.1454321126739111</v>
      </c>
    </row>
    <row r="43" spans="13:22" ht="12.75">
      <c r="M43">
        <f t="shared" si="1"/>
        <v>0</v>
      </c>
      <c r="N43">
        <v>15</v>
      </c>
      <c r="O43">
        <f t="shared" si="2"/>
        <v>0</v>
      </c>
      <c r="P43">
        <f t="shared" si="3"/>
        <v>0</v>
      </c>
      <c r="Q43">
        <f>$V$31+$V$6*COS(($V$35+($N43-1)*($V$36-$V$35)/19)*$B$1/180)</f>
        <v>20.774036033952854</v>
      </c>
      <c r="R43">
        <f>$V$32+$V$6*SIN(($V$35+($N43-1)*($V$36-$V$35)/19)*$B$1/180)</f>
        <v>-108.58909810926284</v>
      </c>
      <c r="U43" t="s">
        <v>13</v>
      </c>
      <c r="V43">
        <f>SQRT($V$40^2+$V$41^2+$V$42^2)</f>
        <v>0.3478523844057454</v>
      </c>
    </row>
    <row r="44" spans="13:22" ht="12.75">
      <c r="M44">
        <f t="shared" si="1"/>
        <v>0</v>
      </c>
      <c r="N44">
        <v>16</v>
      </c>
      <c r="O44">
        <f t="shared" si="2"/>
        <v>0</v>
      </c>
      <c r="P44">
        <f t="shared" si="3"/>
        <v>0</v>
      </c>
      <c r="Q44">
        <f>$V$31+$V$6*COS(($V$35+($N44-1)*($V$36-$V$35)/19)*$B$1/180)</f>
        <v>15.942640573298767</v>
      </c>
      <c r="R44">
        <f>$V$32+$V$6*SIN(($V$35+($N44-1)*($V$36-$V$35)/19)*$B$1/180)</f>
        <v>-113.00090281873504</v>
      </c>
      <c r="U44" t="s">
        <v>15</v>
      </c>
      <c r="V44">
        <v>0.14</v>
      </c>
    </row>
    <row r="45" spans="13:22" ht="12.75">
      <c r="M45">
        <f t="shared" si="1"/>
        <v>0</v>
      </c>
      <c r="N45">
        <v>17</v>
      </c>
      <c r="O45">
        <f t="shared" si="2"/>
        <v>0</v>
      </c>
      <c r="P45">
        <f t="shared" si="3"/>
        <v>0</v>
      </c>
      <c r="Q45">
        <f>$V$31+$V$6*COS(($V$35+($N45-1)*($V$36-$V$35)/19)*$B$1/180)</f>
        <v>10.72185505234556</v>
      </c>
      <c r="R45">
        <f>$V$32+$V$6*SIN(($V$35+($N45-1)*($V$36-$V$35)/19)*$B$1/180)</f>
        <v>-116.9442264721973</v>
      </c>
      <c r="U45" t="s">
        <v>14</v>
      </c>
      <c r="V45">
        <f>V44^2+V43^2</f>
        <v>0.14060128133676247</v>
      </c>
    </row>
    <row r="46" spans="13:22" ht="12.75">
      <c r="M46">
        <f t="shared" si="1"/>
        <v>0</v>
      </c>
      <c r="N46">
        <v>18</v>
      </c>
      <c r="O46">
        <f t="shared" si="2"/>
        <v>0</v>
      </c>
      <c r="P46">
        <f t="shared" si="3"/>
        <v>0</v>
      </c>
      <c r="Q46">
        <f>$V$31+$V$6*COS(($V$35+($N46-1)*($V$36-$V$35)/19)*$B$1/180)</f>
        <v>5.156939730678481</v>
      </c>
      <c r="R46">
        <f>$V$32+$V$6*SIN(($V$35+($N46-1)*($V$36-$V$35)/19)*$B$1/180)</f>
        <v>-120.38488343772357</v>
      </c>
      <c r="U46" t="s">
        <v>34</v>
      </c>
      <c r="V46">
        <f>SQRT(V45)</f>
        <v>0.37496837378205977</v>
      </c>
    </row>
    <row r="47" spans="13:18" ht="12.75">
      <c r="M47">
        <f t="shared" si="1"/>
        <v>0</v>
      </c>
      <c r="N47">
        <v>19</v>
      </c>
      <c r="O47">
        <f t="shared" si="2"/>
        <v>0</v>
      </c>
      <c r="P47">
        <f t="shared" si="3"/>
        <v>0</v>
      </c>
      <c r="Q47">
        <f>$V$31+$V$6*COS(($V$35+($N47-1)*($V$36-$V$35)/19)*$B$1/180)</f>
        <v>-0.7038617871687691</v>
      </c>
      <c r="R47">
        <f>$V$32+$V$6*SIN(($V$35+($N47-1)*($V$36-$V$35)/19)*$B$1/180)</f>
        <v>-123.29304582317415</v>
      </c>
    </row>
    <row r="48" spans="13:18" ht="12.75">
      <c r="M48">
        <f t="shared" si="1"/>
        <v>1</v>
      </c>
      <c r="N48">
        <v>20</v>
      </c>
      <c r="O48">
        <f t="shared" si="2"/>
        <v>-6.7893</v>
      </c>
      <c r="P48">
        <f t="shared" si="3"/>
        <v>-125.705</v>
      </c>
      <c r="Q48">
        <f>$V$31+$V$6*COS(($V$35+($N48-1)*($V$36-$V$35)/19)*$B$1/180)</f>
        <v>-6.809740787256228</v>
      </c>
      <c r="R48">
        <f>$V$32+$V$6*SIN(($V$35+($N48-1)*($V$36-$V$35)/19)*$B$1/180)</f>
        <v>-125.64350206144799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2"/>
  <sheetViews>
    <sheetView workbookViewId="0" topLeftCell="D1">
      <selection activeCell="W50" sqref="W50"/>
    </sheetView>
  </sheetViews>
  <sheetFormatPr defaultColWidth="9.140625" defaultRowHeight="12.75"/>
  <cols>
    <col min="22" max="22" width="11.7109375" style="0" customWidth="1"/>
  </cols>
  <sheetData>
    <row r="1" spans="1:21" ht="13.5" thickBot="1">
      <c r="A1" t="s">
        <v>47</v>
      </c>
      <c r="B1">
        <v>3.14159265</v>
      </c>
      <c r="E1" t="s">
        <v>9</v>
      </c>
      <c r="I1" t="s">
        <v>104</v>
      </c>
      <c r="N1" s="1" t="s">
        <v>41</v>
      </c>
      <c r="O1">
        <v>1000</v>
      </c>
      <c r="P1">
        <v>100</v>
      </c>
      <c r="Q1">
        <v>10</v>
      </c>
      <c r="R1">
        <v>1</v>
      </c>
      <c r="S1">
        <v>0.1</v>
      </c>
      <c r="T1">
        <v>0.01</v>
      </c>
      <c r="U1">
        <v>0.001</v>
      </c>
    </row>
    <row r="2" spans="6:22" ht="14.25" thickBot="1" thickTop="1">
      <c r="F2" t="s">
        <v>6</v>
      </c>
      <c r="G2">
        <f>(E30-$E$11)/(C30-C11)</f>
        <v>-0.6036994685322136</v>
      </c>
      <c r="J2" s="1" t="s">
        <v>8</v>
      </c>
      <c r="K2">
        <f>-1/G2</f>
        <v>1.6564533383329287</v>
      </c>
      <c r="N2" s="2">
        <v>1</v>
      </c>
      <c r="O2" s="2">
        <v>0</v>
      </c>
      <c r="P2" s="2">
        <v>1</v>
      </c>
      <c r="Q2" s="2">
        <v>2</v>
      </c>
      <c r="R2" s="2">
        <v>0</v>
      </c>
      <c r="S2" s="2">
        <v>3</v>
      </c>
      <c r="T2" s="2">
        <v>3</v>
      </c>
      <c r="U2" s="2">
        <v>3</v>
      </c>
      <c r="V2" t="s">
        <v>37</v>
      </c>
    </row>
    <row r="3" spans="2:22" ht="14.25" thickBot="1" thickTop="1">
      <c r="B3" t="s">
        <v>16</v>
      </c>
      <c r="C3" s="3">
        <f>SUM(A11:A30)</f>
        <v>18</v>
      </c>
      <c r="F3" t="s">
        <v>7</v>
      </c>
      <c r="G3">
        <f>E11-C11*G2</f>
        <v>33.162198406428885</v>
      </c>
      <c r="J3" t="s">
        <v>102</v>
      </c>
      <c r="K3">
        <f>-K2*($C$30+$C$11)/2+($E$30+$E$11)/2</f>
        <v>-190.24531797152434</v>
      </c>
      <c r="N3" s="2">
        <v>-1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5</v>
      </c>
      <c r="U3" s="2">
        <v>4</v>
      </c>
      <c r="V3" t="s">
        <v>18</v>
      </c>
    </row>
    <row r="4" spans="5:22" ht="14.25" thickBot="1" thickTop="1">
      <c r="E4" t="s">
        <v>22</v>
      </c>
      <c r="G4">
        <f>SQRT((C30-C11)^2+(E30-E11)^2)</f>
        <v>140.35609155815072</v>
      </c>
      <c r="N4" s="2">
        <v>1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3</v>
      </c>
      <c r="U4" s="2">
        <v>3</v>
      </c>
      <c r="V4" t="s">
        <v>17</v>
      </c>
    </row>
    <row r="5" spans="9:21" ht="13.5" thickTop="1">
      <c r="I5">
        <f>($V$30-$V$29)/(ABS($V$30-$V$29)+0.00000000000000000001)</f>
        <v>-1</v>
      </c>
      <c r="J5" t="s">
        <v>72</v>
      </c>
      <c r="U5" s="3"/>
    </row>
    <row r="6" spans="9:22" ht="12.75">
      <c r="I6">
        <f>$V$25/(ABS(-$V$25)+0.00000000000000000001)</f>
        <v>1</v>
      </c>
      <c r="J6" t="s">
        <v>70</v>
      </c>
      <c r="P6" t="s">
        <v>39</v>
      </c>
      <c r="Q6">
        <f>($C$30+$C$11)/2+$G$7*SQRT($Q$8^2*$G$2^2/(1+$G$2^2))+$V$7</f>
        <v>48.27276378969901</v>
      </c>
      <c r="U6" t="s">
        <v>95</v>
      </c>
      <c r="V6">
        <f>MAX(G4/2,N2*(1000*O2+100*P2+10*Q2+R2+0.1*S2+0.01*T2+0.001*U2))</f>
        <v>120.333</v>
      </c>
    </row>
    <row r="7" spans="6:22" ht="12.75">
      <c r="F7" t="s">
        <v>20</v>
      </c>
      <c r="G7">
        <f>((E14-G3)/G2-C14)/(0.00000000000000000001+ABS((E14-G3)/G2-C14))</f>
        <v>-1</v>
      </c>
      <c r="I7">
        <f>-($C$11-$V$25)/(ABS($C$11-$V$25)+0.00000000000000000001)</f>
        <v>1</v>
      </c>
      <c r="J7" t="s">
        <v>71</v>
      </c>
      <c r="P7" t="s">
        <v>40</v>
      </c>
      <c r="Q7">
        <f>($E$30+$E$11)/2+$G$8*SQRT($Q$8^2/(1+$G$2^2))+$V$8</f>
        <v>-110.1612887612505</v>
      </c>
      <c r="U7" t="s">
        <v>42</v>
      </c>
      <c r="V7">
        <f>N3*(1000*O3+100*P3+10*Q3+R3+0.1*S3+0.01*T3+0.001*U3)</f>
        <v>-0.054000000000000006</v>
      </c>
    </row>
    <row r="8" spans="6:22" ht="12.75">
      <c r="F8" t="s">
        <v>21</v>
      </c>
      <c r="G8">
        <f>(G2*C14+G3-E14)/(0.00000000000000000001+ABS(G2*C14+G3-E14))</f>
        <v>-1</v>
      </c>
      <c r="I8">
        <f>-($C$30-$V$25)/(ABS($C$30-$V$25)+0.00000000000000000001)</f>
        <v>-1</v>
      </c>
      <c r="J8" t="s">
        <v>69</v>
      </c>
      <c r="O8" t="s">
        <v>38</v>
      </c>
      <c r="Q8">
        <f>SQRT(V24^2-(G4/2)^2)</f>
        <v>97.75005258121348</v>
      </c>
      <c r="U8" t="s">
        <v>43</v>
      </c>
      <c r="V8">
        <f>N4*(1000*O4+100*P4+10*Q4+R4+0.1*S4+0.01*T4+0.001*U4)</f>
        <v>0.033</v>
      </c>
    </row>
    <row r="9" spans="21:22" ht="12.75">
      <c r="U9" s="5" t="s">
        <v>44</v>
      </c>
      <c r="V9" s="7">
        <f>K32</f>
        <v>0.8855548441966441</v>
      </c>
    </row>
    <row r="10" spans="1:10" ht="12.75">
      <c r="A10" t="s">
        <v>48</v>
      </c>
      <c r="B10" t="s">
        <v>4</v>
      </c>
      <c r="C10" t="s">
        <v>2</v>
      </c>
      <c r="D10" t="s">
        <v>5</v>
      </c>
      <c r="E10" t="s">
        <v>3</v>
      </c>
      <c r="F10" t="s">
        <v>27</v>
      </c>
      <c r="G10" t="s">
        <v>29</v>
      </c>
      <c r="H10" t="s">
        <v>28</v>
      </c>
      <c r="I10" t="s">
        <v>10</v>
      </c>
      <c r="J10" t="s">
        <v>45</v>
      </c>
    </row>
    <row r="11" spans="1:11" ht="12.75">
      <c r="A11">
        <v>1</v>
      </c>
      <c r="B11" t="s">
        <v>51</v>
      </c>
      <c r="C11" s="4">
        <v>38.7673</v>
      </c>
      <c r="D11" s="4">
        <v>0.0351</v>
      </c>
      <c r="E11" s="4">
        <v>9.7584</v>
      </c>
      <c r="F11" s="4">
        <v>0.0088</v>
      </c>
      <c r="G11" s="4">
        <v>13.3074</v>
      </c>
      <c r="H11" s="4">
        <v>0.066</v>
      </c>
      <c r="I11">
        <f>(D11^2+F11^2)</f>
        <v>0.00130945</v>
      </c>
      <c r="K11">
        <f>$A11*(($V$6-SQRT(($C11-$Q$6)^2+($E11-$Q$7)^2))^2)/($I11+0.00000000000000000001)</f>
        <v>1.0553707876732858</v>
      </c>
    </row>
    <row r="12" spans="1:11" ht="12.75">
      <c r="A12">
        <v>1</v>
      </c>
      <c r="B12">
        <v>2</v>
      </c>
      <c r="C12" s="4">
        <v>45.253</v>
      </c>
      <c r="D12" s="4">
        <v>0.0384</v>
      </c>
      <c r="E12" s="4">
        <v>10.1767</v>
      </c>
      <c r="F12" s="4">
        <v>0.0086</v>
      </c>
      <c r="G12" s="4">
        <v>15.2681</v>
      </c>
      <c r="H12" s="4">
        <v>0.0616</v>
      </c>
      <c r="I12">
        <f aca="true" t="shared" si="0" ref="I12:I30">(D12^2+F12^2)</f>
        <v>0.0015485199999999998</v>
      </c>
      <c r="K12">
        <f>$A12*(($V$6-SQRT(($C12-$Q$6)^2+($E12-$Q$7)^2))^2)/($I12+0.00000000000000000001)</f>
        <v>1.1869343204049125</v>
      </c>
    </row>
    <row r="13" spans="1:11" ht="12.75">
      <c r="A13">
        <v>1</v>
      </c>
      <c r="B13">
        <v>3</v>
      </c>
      <c r="C13" s="4">
        <v>64.9581</v>
      </c>
      <c r="D13" s="4">
        <v>0.0493</v>
      </c>
      <c r="E13" s="4">
        <v>9.0034</v>
      </c>
      <c r="F13" s="4">
        <v>0.0068</v>
      </c>
      <c r="G13" s="4">
        <v>21.8128</v>
      </c>
      <c r="H13" s="4">
        <v>0.0611</v>
      </c>
      <c r="I13">
        <f t="shared" si="0"/>
        <v>0.0024767299999999995</v>
      </c>
      <c r="K13">
        <f>$A13*(($V$6-SQRT(($C13-$Q$6)^2+($E13-$Q$7)^2))^2)/($I13+0.00000000000000000001)</f>
        <v>0.013808490133710147</v>
      </c>
    </row>
    <row r="14" spans="1:11" ht="12.75">
      <c r="A14">
        <v>1</v>
      </c>
      <c r="B14">
        <v>4</v>
      </c>
      <c r="C14" s="4">
        <v>71.5276</v>
      </c>
      <c r="D14" s="4">
        <v>0.0533</v>
      </c>
      <c r="E14" s="4">
        <v>7.9955</v>
      </c>
      <c r="F14" s="4">
        <v>0.006</v>
      </c>
      <c r="G14" s="4">
        <v>23.8637</v>
      </c>
      <c r="H14" s="4">
        <v>0.0588</v>
      </c>
      <c r="I14">
        <f t="shared" si="0"/>
        <v>0.00287689</v>
      </c>
      <c r="K14">
        <f>$A14*(($V$6-SQRT(($C14-$Q$6)^2+($E14-$Q$7)^2))^2)/($I14+0.00000000000000000001)</f>
        <v>2.8455490260530567</v>
      </c>
    </row>
    <row r="15" spans="1:11" ht="12.75">
      <c r="A15">
        <v>1</v>
      </c>
      <c r="B15">
        <v>5</v>
      </c>
      <c r="C15" s="4">
        <v>78.1083</v>
      </c>
      <c r="D15" s="4">
        <v>0.0573</v>
      </c>
      <c r="E15" s="4">
        <v>6.3817</v>
      </c>
      <c r="F15" s="4">
        <v>0.0047</v>
      </c>
      <c r="G15" s="4">
        <v>26.0344</v>
      </c>
      <c r="H15" s="4">
        <v>0.0576</v>
      </c>
      <c r="I15">
        <f t="shared" si="0"/>
        <v>0.0033053799999999993</v>
      </c>
      <c r="K15">
        <f>$A15*(($V$6-SQRT(($C15-$Q$6)^2+($E15-$Q$7)^2))^2)/($I15+0.00000000000000000001)</f>
        <v>0.3020530757391489</v>
      </c>
    </row>
    <row r="16" spans="1:11" ht="12.75">
      <c r="A16">
        <v>1</v>
      </c>
      <c r="B16">
        <v>6</v>
      </c>
      <c r="C16" s="4">
        <v>84.6436</v>
      </c>
      <c r="D16" s="4">
        <v>0.0614</v>
      </c>
      <c r="E16" s="4">
        <v>4.5378</v>
      </c>
      <c r="F16" s="4">
        <v>0.0033</v>
      </c>
      <c r="G16" s="4">
        <v>28.1958</v>
      </c>
      <c r="H16" s="4">
        <v>0.0574</v>
      </c>
      <c r="I16">
        <f t="shared" si="0"/>
        <v>0.0037808500000000005</v>
      </c>
      <c r="K16">
        <f>$A16*(($V$6-SQRT(($C16-$Q$6)^2+($E16-$Q$7)^2))^2)/($I16+0.00000000000000000001)</f>
        <v>0.007863223523284809</v>
      </c>
    </row>
    <row r="17" spans="1:11" ht="12.75">
      <c r="A17">
        <v>1</v>
      </c>
      <c r="B17">
        <v>7</v>
      </c>
      <c r="C17" s="4">
        <v>91.1312</v>
      </c>
      <c r="D17" s="4">
        <v>0.0656</v>
      </c>
      <c r="E17" s="4">
        <v>2.3371</v>
      </c>
      <c r="F17" s="4">
        <v>0.0017</v>
      </c>
      <c r="G17" s="4">
        <v>30.5368</v>
      </c>
      <c r="H17" s="4">
        <v>0.0648</v>
      </c>
      <c r="I17">
        <f t="shared" si="0"/>
        <v>0.004306250000000001</v>
      </c>
      <c r="K17">
        <f>$A17*(($V$6-SQRT(($C17-$Q$6)^2+($E17-$Q$7)^2))^2)/($I17+0.00000000000000000001)</f>
        <v>0.646598359862237</v>
      </c>
    </row>
    <row r="18" spans="1:11" ht="12.75">
      <c r="A18">
        <v>1</v>
      </c>
      <c r="B18">
        <v>8</v>
      </c>
      <c r="C18" s="4">
        <v>100.314</v>
      </c>
      <c r="D18" s="4">
        <v>0.0718</v>
      </c>
      <c r="E18" s="4">
        <v>-1.8765</v>
      </c>
      <c r="F18" s="4">
        <v>0.0013</v>
      </c>
      <c r="G18" s="4">
        <v>33.6994</v>
      </c>
      <c r="H18" s="4">
        <v>0.0609</v>
      </c>
      <c r="I18">
        <f t="shared" si="0"/>
        <v>0.0051569300000000005</v>
      </c>
      <c r="K18">
        <f>$A18*(($V$6-SQRT(($C18-$Q$6)^2+($E18-$Q$7)^2))^2)/($I18+0.00000000000000000001)</f>
        <v>7.140426646019496</v>
      </c>
    </row>
    <row r="19" spans="1:11" ht="12.75">
      <c r="A19">
        <v>1</v>
      </c>
      <c r="B19">
        <v>9</v>
      </c>
      <c r="C19" s="4">
        <v>106.635</v>
      </c>
      <c r="D19" s="4">
        <v>0.0991</v>
      </c>
      <c r="E19" s="4">
        <v>-4.9999</v>
      </c>
      <c r="F19" s="4">
        <v>0.0046</v>
      </c>
      <c r="G19" s="4">
        <v>36.0576</v>
      </c>
      <c r="H19" s="4">
        <v>0.0621</v>
      </c>
      <c r="I19">
        <f t="shared" si="0"/>
        <v>0.009841969999999998</v>
      </c>
      <c r="K19">
        <f>$A19*(($V$6-SQRT(($C19-$Q$6)^2+($E19-$Q$7)^2))^2)/($I19+0.00000000000000000001)</f>
        <v>0.3929400998488769</v>
      </c>
    </row>
    <row r="20" spans="1:11" ht="12.75">
      <c r="A20">
        <v>1</v>
      </c>
      <c r="B20">
        <v>10</v>
      </c>
      <c r="C20" s="4">
        <v>112.8446</v>
      </c>
      <c r="D20" s="4">
        <v>0.0809</v>
      </c>
      <c r="E20" s="4">
        <v>-8.5941</v>
      </c>
      <c r="F20" s="4">
        <v>0.0062</v>
      </c>
      <c r="G20" s="4">
        <v>38.2075</v>
      </c>
      <c r="H20" s="4">
        <v>0.0605</v>
      </c>
      <c r="I20">
        <f t="shared" si="0"/>
        <v>0.00658325</v>
      </c>
      <c r="K20">
        <f>$A20*(($V$6-SQRT(($C20-$Q$6)^2+($E20-$Q$7)^2))^2)/($I20+0.00000000000000000001)</f>
        <v>0.0760355832579305</v>
      </c>
    </row>
    <row r="21" spans="1:11" ht="12.75">
      <c r="A21">
        <v>1</v>
      </c>
      <c r="B21">
        <v>11</v>
      </c>
      <c r="C21" s="4">
        <v>118.9116</v>
      </c>
      <c r="D21" s="4">
        <v>0.0854</v>
      </c>
      <c r="E21" s="4">
        <v>-12.6497</v>
      </c>
      <c r="F21" s="4">
        <v>0.0091</v>
      </c>
      <c r="G21" s="4">
        <v>40.702</v>
      </c>
      <c r="H21" s="4">
        <v>0.0565</v>
      </c>
      <c r="I21">
        <f t="shared" si="0"/>
        <v>0.007375970000000001</v>
      </c>
      <c r="K21">
        <f>$A21*(($V$6-SQRT(($C21-$Q$6)^2+($E21-$Q$7)^2))^2)/($I21+0.00000000000000000001)</f>
        <v>0.7854678491001753</v>
      </c>
    </row>
    <row r="22" spans="1:18" ht="12.75">
      <c r="A22">
        <v>1</v>
      </c>
      <c r="B22">
        <v>12</v>
      </c>
      <c r="C22" s="4">
        <v>124.8074</v>
      </c>
      <c r="D22" s="4">
        <v>0.0902</v>
      </c>
      <c r="E22" s="4">
        <v>-17.2223</v>
      </c>
      <c r="F22" s="4">
        <v>0.0125</v>
      </c>
      <c r="G22" s="4">
        <v>42.9116</v>
      </c>
      <c r="H22" s="4">
        <v>0.0582</v>
      </c>
      <c r="I22">
        <f t="shared" si="0"/>
        <v>0.00829229</v>
      </c>
      <c r="K22">
        <f>$A22*(($V$6-SQRT(($C22-$Q$6)^2+($E22-$Q$7)^2))^2)/($I22+0.00000000000000000001)</f>
        <v>0.4792279517358471</v>
      </c>
      <c r="Q22" t="s">
        <v>25</v>
      </c>
      <c r="R22" t="s">
        <v>26</v>
      </c>
    </row>
    <row r="23" spans="1:21" ht="12.75">
      <c r="A23">
        <v>1</v>
      </c>
      <c r="B23">
        <v>13</v>
      </c>
      <c r="C23" s="4">
        <v>130.496</v>
      </c>
      <c r="D23" s="4">
        <v>0.0951</v>
      </c>
      <c r="E23" s="4">
        <v>-22.3457</v>
      </c>
      <c r="F23" s="4">
        <v>0.0163</v>
      </c>
      <c r="G23" s="4">
        <v>45.4647</v>
      </c>
      <c r="H23" s="4">
        <v>0.0562</v>
      </c>
      <c r="I23">
        <f t="shared" si="0"/>
        <v>0.0093097</v>
      </c>
      <c r="K23">
        <f>$A23*(($V$6-SQRT(($C23-$Q$6)^2+($E23-$Q$7)^2))^2)/($I23+0.00000000000000000001)</f>
        <v>0.11264868918567174</v>
      </c>
      <c r="M23">
        <f>$A11</f>
        <v>1</v>
      </c>
      <c r="N23">
        <v>1</v>
      </c>
      <c r="O23">
        <f aca="true" t="shared" si="1" ref="O23:O42">$M23*C11</f>
        <v>38.7673</v>
      </c>
      <c r="P23">
        <f aca="true" t="shared" si="2" ref="P23:P42">$M23*E11</f>
        <v>9.7584</v>
      </c>
      <c r="Q23">
        <f>$V$25+$V$6*COS(($V$29+($N23-1)*($V$30-$V$29)/19)*$B$1/180)</f>
        <v>38.76436298557723</v>
      </c>
      <c r="R23">
        <f>$V$26+$V$6*SIN(($V$29+($N23-1)*($V$30-$V$29)/19)*$B$1/180)</f>
        <v>9.795458456853808</v>
      </c>
      <c r="U23" t="s">
        <v>54</v>
      </c>
    </row>
    <row r="24" spans="1:22" ht="12.75">
      <c r="A24">
        <v>1</v>
      </c>
      <c r="B24">
        <v>14</v>
      </c>
      <c r="C24" s="4">
        <v>135.9972</v>
      </c>
      <c r="D24" s="4">
        <v>0.1001</v>
      </c>
      <c r="E24" s="4">
        <v>-27.7708</v>
      </c>
      <c r="F24" s="4">
        <v>0.0204</v>
      </c>
      <c r="G24" s="4">
        <v>48.0337</v>
      </c>
      <c r="H24" s="4">
        <v>0.0562</v>
      </c>
      <c r="I24">
        <f t="shared" si="0"/>
        <v>0.01043617</v>
      </c>
      <c r="K24">
        <f>$A24*(($V$6-SQRT(($C24-$Q$6)^2+($E24-$Q$7)^2))^2)/($I24+0.00000000000000000001)</f>
        <v>0.023118426283356367</v>
      </c>
      <c r="M24">
        <f aca="true" t="shared" si="3" ref="M24:M42">$A12</f>
        <v>1</v>
      </c>
      <c r="N24">
        <v>2</v>
      </c>
      <c r="O24">
        <f t="shared" si="1"/>
        <v>45.253</v>
      </c>
      <c r="P24">
        <f t="shared" si="2"/>
        <v>10.1767</v>
      </c>
      <c r="Q24">
        <f>$V$25+$V$6*COS(($V$29+($N24-1)*($V$30-$V$29)/19)*$B$1/180)</f>
        <v>46.64152471615199</v>
      </c>
      <c r="R24">
        <f>$V$26+$V$6*SIN(($V$29+($N24-1)*($V$30-$V$29)/19)*$B$1/180)</f>
        <v>10.160654158920678</v>
      </c>
      <c r="U24" t="s">
        <v>23</v>
      </c>
      <c r="V24">
        <f>V6</f>
        <v>120.333</v>
      </c>
    </row>
    <row r="25" spans="1:22" ht="12.75">
      <c r="A25">
        <v>1</v>
      </c>
      <c r="B25">
        <v>15</v>
      </c>
      <c r="C25" s="4">
        <v>141.2272</v>
      </c>
      <c r="D25" s="4">
        <v>0.1053</v>
      </c>
      <c r="E25" s="4">
        <v>-33.7919</v>
      </c>
      <c r="F25" s="4">
        <v>-0.0252</v>
      </c>
      <c r="G25" s="4">
        <v>50.5823</v>
      </c>
      <c r="H25" s="4">
        <v>0.056</v>
      </c>
      <c r="I25">
        <f t="shared" si="0"/>
        <v>0.011723130000000002</v>
      </c>
      <c r="K25">
        <f>$A25*(($V$6-SQRT(($C25-$Q$6)^2+($E25-$Q$7)^2))^2)/($I25+0.00000000000000000001)</f>
        <v>0.0767938142494633</v>
      </c>
      <c r="M25">
        <f t="shared" si="3"/>
        <v>1</v>
      </c>
      <c r="N25">
        <v>3</v>
      </c>
      <c r="O25">
        <f t="shared" si="1"/>
        <v>64.9581</v>
      </c>
      <c r="P25">
        <f t="shared" si="2"/>
        <v>9.0034</v>
      </c>
      <c r="Q25">
        <f>$V$25+$V$6*COS(($V$29+($N25-1)*($V$30-$V$29)/19)*$B$1/180)</f>
        <v>54.525691639824586</v>
      </c>
      <c r="R25">
        <f>$V$26+$V$6*SIN(($V$29+($N25-1)*($V$30-$V$29)/19)*$B$1/180)</f>
        <v>10.009139307809491</v>
      </c>
      <c r="U25" t="s">
        <v>35</v>
      </c>
      <c r="V25">
        <f>$Q$6</f>
        <v>48.27276378969901</v>
      </c>
    </row>
    <row r="26" spans="1:22" ht="12.75">
      <c r="A26">
        <v>1</v>
      </c>
      <c r="B26">
        <v>16</v>
      </c>
      <c r="C26" s="4">
        <v>146.1229</v>
      </c>
      <c r="D26" s="4">
        <v>0.2298</v>
      </c>
      <c r="E26" s="4">
        <v>-40.4667</v>
      </c>
      <c r="F26" s="4">
        <v>-0.0636</v>
      </c>
      <c r="G26" s="4">
        <v>53.2415</v>
      </c>
      <c r="H26" s="4">
        <v>0.1347</v>
      </c>
      <c r="I26">
        <f t="shared" si="0"/>
        <v>0.056853</v>
      </c>
      <c r="K26">
        <f>$A26*(($V$6-SQRT(($C26-$Q$6)^2+($E26-$Q$7)^2))^2)/($I26+0.00000000000000000001)</f>
        <v>0.702188257794094</v>
      </c>
      <c r="M26">
        <f t="shared" si="3"/>
        <v>1</v>
      </c>
      <c r="N26">
        <v>4</v>
      </c>
      <c r="O26">
        <f t="shared" si="1"/>
        <v>71.5276</v>
      </c>
      <c r="P26">
        <f t="shared" si="2"/>
        <v>7.9955</v>
      </c>
      <c r="Q26">
        <f>$V$25+$V$6*COS(($V$29+($N26-1)*($V$30-$V$29)/19)*$B$1/180)</f>
        <v>62.3830059900595</v>
      </c>
      <c r="R26">
        <f>$V$26+$V$6*SIN(($V$29+($N26-1)*($V$30-$V$29)/19)*$B$1/180)</f>
        <v>9.341564568898747</v>
      </c>
      <c r="U26" t="s">
        <v>36</v>
      </c>
      <c r="V26">
        <f>$Q$7</f>
        <v>-110.1612887612505</v>
      </c>
    </row>
    <row r="27" spans="1:18" ht="12.75">
      <c r="A27">
        <v>1</v>
      </c>
      <c r="B27">
        <v>17</v>
      </c>
      <c r="C27" s="4">
        <v>155.0988</v>
      </c>
      <c r="D27" s="4">
        <v>0.1223</v>
      </c>
      <c r="E27" s="4">
        <v>-54.7273</v>
      </c>
      <c r="F27" s="4">
        <v>0.0432</v>
      </c>
      <c r="G27" s="4">
        <v>58.714</v>
      </c>
      <c r="H27" s="4">
        <v>0.0554</v>
      </c>
      <c r="I27">
        <f t="shared" si="0"/>
        <v>0.016823530000000003</v>
      </c>
      <c r="K27">
        <f>$A27*(($V$6-SQRT(($C27-$Q$6)^2+($E27-$Q$7)^2))^2)/($I27+0.00000000000000000001)</f>
        <v>0.022649161018610902</v>
      </c>
      <c r="M27">
        <f t="shared" si="3"/>
        <v>1</v>
      </c>
      <c r="N27">
        <v>5</v>
      </c>
      <c r="O27">
        <f t="shared" si="1"/>
        <v>78.1083</v>
      </c>
      <c r="P27">
        <f t="shared" si="2"/>
        <v>6.3817</v>
      </c>
      <c r="Q27">
        <f>$V$25+$V$6*COS(($V$29+($N27-1)*($V$30-$V$29)/19)*$B$1/180)</f>
        <v>70.17972531601316</v>
      </c>
      <c r="R27">
        <f>$V$26+$V$6*SIN(($V$29+($N27-1)*($V$30-$V$29)/19)*$B$1/180)</f>
        <v>8.160796775155546</v>
      </c>
    </row>
    <row r="28" spans="1:22" ht="12.75">
      <c r="A28">
        <v>0</v>
      </c>
      <c r="B28">
        <v>18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>
        <f t="shared" si="0"/>
        <v>0</v>
      </c>
      <c r="K28">
        <f>$A28*(($V$6-SQRT(($C28-$Q$6)^2+($E28-$Q$7)^2))^2)/($I28+0.00000000000000000001)</f>
        <v>0</v>
      </c>
      <c r="M28">
        <f t="shared" si="3"/>
        <v>1</v>
      </c>
      <c r="N28">
        <v>6</v>
      </c>
      <c r="O28">
        <f t="shared" si="1"/>
        <v>84.6436</v>
      </c>
      <c r="P28">
        <f t="shared" si="2"/>
        <v>4.5378</v>
      </c>
      <c r="Q28">
        <f>$V$25+$V$6*COS(($V$29+($N28-1)*($V$30-$V$29)/19)*$B$1/180)</f>
        <v>77.88236738611477</v>
      </c>
      <c r="R28">
        <f>$V$26+$V$6*SIN(($V$29+($N28-1)*($V$30-$V$29)/19)*$B$1/180)</f>
        <v>6.471906615808095</v>
      </c>
      <c r="U28" t="s">
        <v>30</v>
      </c>
      <c r="V28">
        <f>180/B1*ATAN(ABS((V30-V29))*B1/180*V24/(G30-G11))</f>
        <v>72.15514010484087</v>
      </c>
    </row>
    <row r="29" spans="1:22" ht="12.75">
      <c r="A29">
        <v>0</v>
      </c>
      <c r="B29">
        <v>19</v>
      </c>
      <c r="C29">
        <v>0</v>
      </c>
      <c r="D29">
        <v>0</v>
      </c>
      <c r="E29">
        <v>0</v>
      </c>
      <c r="F29">
        <v>0</v>
      </c>
      <c r="G29">
        <v>19</v>
      </c>
      <c r="H29">
        <v>0.01</v>
      </c>
      <c r="I29">
        <f t="shared" si="0"/>
        <v>0</v>
      </c>
      <c r="K29">
        <f>$A29*(($V$6-SQRT(($C29-$Q$6)^2+($E29-$Q$7)^2))^2)/($I29+0.00000000000000000001)</f>
        <v>0</v>
      </c>
      <c r="M29">
        <f t="shared" si="3"/>
        <v>1</v>
      </c>
      <c r="N29">
        <v>7</v>
      </c>
      <c r="O29">
        <f t="shared" si="1"/>
        <v>91.1312</v>
      </c>
      <c r="P29">
        <f t="shared" si="2"/>
        <v>2.3371</v>
      </c>
      <c r="Q29">
        <f>$V$25+$V$6*COS(($V$29+($N29-1)*($V$30-$V$29)/19)*$B$1/180)</f>
        <v>85.45785397416239</v>
      </c>
      <c r="R29">
        <f>$V$26+$V$6*SIN(($V$29+($N29-1)*($V$30-$V$29)/19)*$B$1/180)</f>
        <v>4.282146860777743</v>
      </c>
      <c r="U29" t="s">
        <v>24</v>
      </c>
      <c r="V29">
        <f>90*(1+$I$7)+ATAN(($E$11-$V$26)/($C$11-$V$25))*180/$B$1</f>
        <v>94.53208821480136</v>
      </c>
    </row>
    <row r="30" spans="1:22" ht="12.75">
      <c r="A30">
        <v>1</v>
      </c>
      <c r="B30" t="s">
        <v>52</v>
      </c>
      <c r="C30">
        <v>158.9251</v>
      </c>
      <c r="D30">
        <v>0.1285</v>
      </c>
      <c r="E30">
        <v>-62.7808</v>
      </c>
      <c r="F30">
        <v>0.0508</v>
      </c>
      <c r="G30">
        <v>61.5496</v>
      </c>
      <c r="H30">
        <v>0.551</v>
      </c>
      <c r="I30">
        <f t="shared" si="0"/>
        <v>0.019092889999999998</v>
      </c>
      <c r="K30">
        <f>$A30*(($V$6-SQRT(($C30-$Q$6)^2+($E30-$Q$7)^2))^2)/($I30+0.00000000000000000001)</f>
        <v>0.07031343365643625</v>
      </c>
      <c r="M30">
        <f t="shared" si="3"/>
        <v>1</v>
      </c>
      <c r="N30">
        <v>8</v>
      </c>
      <c r="O30">
        <f t="shared" si="1"/>
        <v>100.314</v>
      </c>
      <c r="P30">
        <f t="shared" si="2"/>
        <v>-1.8765</v>
      </c>
      <c r="Q30">
        <f>$V$25+$V$6*COS(($V$29+($N30-1)*($V$30-$V$29)/19)*$B$1/180)</f>
        <v>92.87365291045776</v>
      </c>
      <c r="R30">
        <f>$V$26+$V$6*SIN(($V$29+($N30-1)*($V$30-$V$29)/19)*$B$1/180)</f>
        <v>1.6009212143838596</v>
      </c>
      <c r="U30" t="s">
        <v>31</v>
      </c>
      <c r="V30">
        <f>90*(1+$I$8)+ATAN(($E$30-$V$26)/($C$30-$V$25))*180/$B$1</f>
        <v>23.180240840924704</v>
      </c>
    </row>
    <row r="31" spans="11:22" ht="12.75">
      <c r="K31" t="s">
        <v>19</v>
      </c>
      <c r="M31">
        <f t="shared" si="3"/>
        <v>1</v>
      </c>
      <c r="N31">
        <v>9</v>
      </c>
      <c r="O31">
        <f t="shared" si="1"/>
        <v>106.635</v>
      </c>
      <c r="P31">
        <f t="shared" si="2"/>
        <v>-4.9999</v>
      </c>
      <c r="Q31">
        <f>$V$25+$V$6*COS(($V$29+($N31-1)*($V$30-$V$29)/19)*$B$1/180)</f>
        <v>100.0979177879563</v>
      </c>
      <c r="R31">
        <f>$V$26+$V$6*SIN(($V$29+($N31-1)*($V$30-$V$29)/19)*$B$1/180)</f>
        <v>-1.5602560679242572</v>
      </c>
      <c r="U31" t="s">
        <v>32</v>
      </c>
      <c r="V31">
        <f>90*(1+$I$6)+ATAN((-$V$26)/(-$V$25))*180/$B$1</f>
        <v>113.66307060272985</v>
      </c>
    </row>
    <row r="32" spans="10:22" ht="12.75">
      <c r="J32" t="s">
        <v>46</v>
      </c>
      <c r="K32">
        <f>SUM(K11:K30)/$C$3</f>
        <v>0.8855548441966441</v>
      </c>
      <c r="M32">
        <f t="shared" si="3"/>
        <v>1</v>
      </c>
      <c r="N32">
        <v>10</v>
      </c>
      <c r="O32">
        <f t="shared" si="1"/>
        <v>112.8446</v>
      </c>
      <c r="P32">
        <f t="shared" si="2"/>
        <v>-8.5941</v>
      </c>
      <c r="Q32">
        <f>$V$25+$V$6*COS(($V$29+($N32-1)*($V$30-$V$29)/19)*$B$1/180)</f>
        <v>107.09962472347792</v>
      </c>
      <c r="R32">
        <f>$V$26+$V$6*SIN(($V$29+($N32-1)*($V$30-$V$29)/19)*$B$1/180)</f>
        <v>-5.1878096263859845</v>
      </c>
      <c r="U32" t="s">
        <v>33</v>
      </c>
      <c r="V32">
        <f>V24-SQRT(V26^2+V25^2)</f>
        <v>0.05927358630773938</v>
      </c>
    </row>
    <row r="33" spans="13:22" ht="12.75">
      <c r="M33">
        <f t="shared" si="3"/>
        <v>1</v>
      </c>
      <c r="N33">
        <v>11</v>
      </c>
      <c r="O33">
        <f t="shared" si="1"/>
        <v>118.9116</v>
      </c>
      <c r="P33">
        <f t="shared" si="2"/>
        <v>-12.6497</v>
      </c>
      <c r="Q33">
        <f>$V$25+$V$6*COS(($V$29+($N33-1)*($V$30-$V$29)/19)*$B$1/180)</f>
        <v>113.84870558667134</v>
      </c>
      <c r="R33">
        <f>$V$26+$V$6*SIN(($V$29+($N33-1)*($V$30-$V$29)/19)*$B$1/180)</f>
        <v>-9.266161294954614</v>
      </c>
      <c r="U33" t="s">
        <v>11</v>
      </c>
      <c r="V33">
        <f>1.5*V24/100*0.299792458</f>
        <v>0.54112388772771</v>
      </c>
    </row>
    <row r="34" spans="13:22" ht="12.75">
      <c r="M34">
        <f t="shared" si="3"/>
        <v>1</v>
      </c>
      <c r="N34">
        <v>12</v>
      </c>
      <c r="O34">
        <f t="shared" si="1"/>
        <v>124.8074</v>
      </c>
      <c r="P34">
        <f t="shared" si="2"/>
        <v>-17.2223</v>
      </c>
      <c r="Q34">
        <f>$V$25+$V$6*COS(($V$29+($N34-1)*($V$30-$V$29)/19)*$B$1/180)</f>
        <v>120.3161771245934</v>
      </c>
      <c r="R34">
        <f>$V$26+$V$6*SIN(($V$29+($N34-1)*($V$30-$V$29)/19)*$B$1/180)</f>
        <v>-13.777797000173706</v>
      </c>
      <c r="U34" t="s">
        <v>0</v>
      </c>
      <c r="V34">
        <f>-$I$5*SIN(V31*$B$1/180)*V33</f>
        <v>0.4956269895581073</v>
      </c>
    </row>
    <row r="35" spans="13:22" ht="12.75">
      <c r="M35">
        <f t="shared" si="3"/>
        <v>1</v>
      </c>
      <c r="N35">
        <v>13</v>
      </c>
      <c r="O35">
        <f t="shared" si="1"/>
        <v>130.496</v>
      </c>
      <c r="P35">
        <f t="shared" si="2"/>
        <v>-22.3457</v>
      </c>
      <c r="Q35">
        <f>$V$25+$V$6*COS(($V$29+($N35-1)*($V$30-$V$29)/19)*$B$1/180)</f>
        <v>126.47426542739095</v>
      </c>
      <c r="R35">
        <f>$V$26+$V$6*SIN(($V$29+($N35-1)*($V$30-$V$29)/19)*$B$1/180)</f>
        <v>-18.70334197361447</v>
      </c>
      <c r="U35" t="s">
        <v>1</v>
      </c>
      <c r="V35">
        <f>$I$5*COS(V31*$B$1/180)*V33</f>
        <v>0.21718413637077438</v>
      </c>
    </row>
    <row r="36" spans="13:22" ht="12.75">
      <c r="M36">
        <f t="shared" si="3"/>
        <v>1</v>
      </c>
      <c r="N36">
        <v>14</v>
      </c>
      <c r="O36">
        <f t="shared" si="1"/>
        <v>135.9972</v>
      </c>
      <c r="P36">
        <f t="shared" si="2"/>
        <v>-27.7708</v>
      </c>
      <c r="Q36">
        <f>$V$25+$V$6*COS(($V$29+($N36-1)*($V$30-$V$29)/19)*$B$1/180)</f>
        <v>132.29652520057962</v>
      </c>
      <c r="R36">
        <f>$V$26+$V$6*SIN(($V$29+($N36-1)*($V$30-$V$29)/19)*$B$1/180)</f>
        <v>-24.021643954881526</v>
      </c>
      <c r="U36" t="s">
        <v>12</v>
      </c>
      <c r="V36">
        <f>V33/TAN($V$28*$B$1/180)</f>
        <v>0.17420334011652513</v>
      </c>
    </row>
    <row r="37" spans="13:22" ht="12.75">
      <c r="M37">
        <f t="shared" si="3"/>
        <v>1</v>
      </c>
      <c r="N37">
        <v>15</v>
      </c>
      <c r="O37">
        <f t="shared" si="1"/>
        <v>141.2272</v>
      </c>
      <c r="P37">
        <f t="shared" si="2"/>
        <v>-33.7919</v>
      </c>
      <c r="Q37">
        <f>$V$25+$V$6*COS(($V$29+($N37-1)*($V$30-$V$29)/19)*$B$1/180)</f>
        <v>137.75795333171675</v>
      </c>
      <c r="R37">
        <f>$V$26+$V$6*SIN(($V$29+($N37-1)*($V$30-$V$29)/19)*$B$1/180)</f>
        <v>-29.709864027880116</v>
      </c>
      <c r="U37" t="s">
        <v>13</v>
      </c>
      <c r="V37">
        <f>SQRT($V$34^2+$V$35^2+$V$36^2)</f>
        <v>0.5684732760449739</v>
      </c>
    </row>
    <row r="38" spans="13:22" ht="12.75">
      <c r="M38">
        <f t="shared" si="3"/>
        <v>1</v>
      </c>
      <c r="N38">
        <v>16</v>
      </c>
      <c r="O38">
        <f t="shared" si="1"/>
        <v>146.1229</v>
      </c>
      <c r="P38">
        <f t="shared" si="2"/>
        <v>-40.4667</v>
      </c>
      <c r="Q38">
        <f>$V$25+$V$6*COS(($V$29+($N38-1)*($V$30-$V$29)/19)*$B$1/180)</f>
        <v>142.8350962637678</v>
      </c>
      <c r="R38">
        <f>$V$26+$V$6*SIN(($V$29+($N38-1)*($V$30-$V$29)/19)*$B$1/180)</f>
        <v>-35.74357470025777</v>
      </c>
      <c r="U38" t="s">
        <v>15</v>
      </c>
      <c r="V38">
        <v>0.14</v>
      </c>
    </row>
    <row r="39" spans="13:22" ht="12.75">
      <c r="M39">
        <f t="shared" si="3"/>
        <v>1</v>
      </c>
      <c r="N39">
        <v>17</v>
      </c>
      <c r="O39">
        <f t="shared" si="1"/>
        <v>155.0988</v>
      </c>
      <c r="P39">
        <f t="shared" si="2"/>
        <v>-54.7273</v>
      </c>
      <c r="Q39">
        <f>$V$25+$V$6*COS(($V$29+($N39-1)*($V$30-$V$29)/19)*$B$1/180)</f>
        <v>147.50615071406202</v>
      </c>
      <c r="R39">
        <f>$V$26+$V$6*SIN(($V$29+($N39-1)*($V$30-$V$29)/19)*$B$1/180)</f>
        <v>-42.0968648048277</v>
      </c>
      <c r="U39" t="s">
        <v>14</v>
      </c>
      <c r="V39">
        <f>V38^2+V37^2</f>
        <v>0.3427618655773051</v>
      </c>
    </row>
    <row r="40" spans="13:22" ht="12.75">
      <c r="M40">
        <f t="shared" si="3"/>
        <v>0</v>
      </c>
      <c r="N40">
        <v>18</v>
      </c>
      <c r="O40">
        <f t="shared" si="1"/>
        <v>0</v>
      </c>
      <c r="P40">
        <f t="shared" si="2"/>
        <v>0</v>
      </c>
      <c r="Q40">
        <f>$V$25+$V$6*COS(($V$29+($N40-1)*($V$30-$V$29)/19)*$B$1/180)</f>
        <v>151.75105730630975</v>
      </c>
      <c r="R40">
        <f>$V$26+$V$6*SIN(($V$29+($N40-1)*($V$30-$V$29)/19)*$B$1/180)</f>
        <v>-48.74245077248558</v>
      </c>
      <c r="U40" t="s">
        <v>34</v>
      </c>
      <c r="V40">
        <f>SQRT(V39)</f>
        <v>0.5854586796498154</v>
      </c>
    </row>
    <row r="41" spans="13:18" ht="12.75">
      <c r="M41">
        <f t="shared" si="3"/>
        <v>0</v>
      </c>
      <c r="N41">
        <v>19</v>
      </c>
      <c r="O41">
        <f t="shared" si="1"/>
        <v>0</v>
      </c>
      <c r="P41">
        <f t="shared" si="2"/>
        <v>0</v>
      </c>
      <c r="Q41">
        <f>$V$25+$V$6*COS(($V$29+($N41-1)*($V$30-$V$29)/19)*$B$1/180)</f>
        <v>155.55158671358834</v>
      </c>
      <c r="R41">
        <f>$V$26+$V$6*SIN(($V$29+($N41-1)*($V$30-$V$29)/19)*$B$1/180)</f>
        <v>-55.65179379876899</v>
      </c>
    </row>
    <row r="42" spans="13:18" ht="12.75">
      <c r="M42">
        <f t="shared" si="3"/>
        <v>1</v>
      </c>
      <c r="N42">
        <v>20</v>
      </c>
      <c r="O42">
        <f t="shared" si="1"/>
        <v>158.9251</v>
      </c>
      <c r="P42">
        <f t="shared" si="2"/>
        <v>-62.7808</v>
      </c>
      <c r="Q42">
        <f>$V$25+$V$6*COS(($V$29+($N42-1)*($V$30-$V$29)/19)*$B$1/180)</f>
        <v>158.89141794236366</v>
      </c>
      <c r="R42">
        <f>$V$26+$V$6*SIN(($V$29+($N42-1)*($V$30-$V$29)/19)*$B$1/180)</f>
        <v>-62.79522240089955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2"/>
  <sheetViews>
    <sheetView workbookViewId="0" topLeftCell="A1">
      <selection activeCell="J3" sqref="J3:K3"/>
    </sheetView>
  </sheetViews>
  <sheetFormatPr defaultColWidth="9.140625" defaultRowHeight="12.75"/>
  <cols>
    <col min="22" max="22" width="12.57421875" style="0" customWidth="1"/>
  </cols>
  <sheetData>
    <row r="1" spans="1:21" ht="13.5" thickBot="1">
      <c r="A1" t="s">
        <v>47</v>
      </c>
      <c r="B1">
        <v>3.14159265</v>
      </c>
      <c r="E1" t="s">
        <v>9</v>
      </c>
      <c r="I1" t="s">
        <v>104</v>
      </c>
      <c r="N1" s="1" t="s">
        <v>41</v>
      </c>
      <c r="O1">
        <v>1000</v>
      </c>
      <c r="P1">
        <v>100</v>
      </c>
      <c r="Q1">
        <v>10</v>
      </c>
      <c r="R1">
        <v>1</v>
      </c>
      <c r="S1">
        <v>0.1</v>
      </c>
      <c r="T1">
        <v>0.01</v>
      </c>
      <c r="U1">
        <v>0.001</v>
      </c>
    </row>
    <row r="2" spans="6:22" ht="14.25" thickBot="1" thickTop="1">
      <c r="F2" t="s">
        <v>6</v>
      </c>
      <c r="G2">
        <f>(E30-$E$11)/(C30-C11)</f>
        <v>0.7898720893127611</v>
      </c>
      <c r="J2" s="1" t="s">
        <v>8</v>
      </c>
      <c r="K2">
        <f>-1/G2</f>
        <v>-1.2660277702305744</v>
      </c>
      <c r="N2" s="2">
        <v>1</v>
      </c>
      <c r="O2" s="2">
        <v>0</v>
      </c>
      <c r="P2" s="2">
        <v>1</v>
      </c>
      <c r="Q2" s="2">
        <v>1</v>
      </c>
      <c r="R2" s="2">
        <v>5</v>
      </c>
      <c r="S2" s="2">
        <v>9</v>
      </c>
      <c r="T2" s="2">
        <v>2</v>
      </c>
      <c r="U2" s="2">
        <v>8</v>
      </c>
      <c r="V2" t="s">
        <v>37</v>
      </c>
    </row>
    <row r="3" spans="2:22" ht="14.25" thickBot="1" thickTop="1">
      <c r="B3" t="s">
        <v>16</v>
      </c>
      <c r="C3" s="3">
        <f>SUM(A11:A30)</f>
        <v>13</v>
      </c>
      <c r="F3" t="s">
        <v>7</v>
      </c>
      <c r="G3">
        <f>E11-C11*G2</f>
        <v>-35.079334839145346</v>
      </c>
      <c r="J3" t="s">
        <v>102</v>
      </c>
      <c r="K3">
        <f>-K2*($C$30+$C$11)/2+($E$30+$E$11)/2</f>
        <v>138.44663131576436</v>
      </c>
      <c r="N3" s="2">
        <v>1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1</v>
      </c>
      <c r="U3" s="2">
        <v>1</v>
      </c>
      <c r="V3" t="s">
        <v>18</v>
      </c>
    </row>
    <row r="4" spans="5:22" ht="14.25" thickBot="1" thickTop="1">
      <c r="E4" t="s">
        <v>22</v>
      </c>
      <c r="G4">
        <f>SQRT((C30-C11)^2+(E30-E11)^2)</f>
        <v>113.41419568576941</v>
      </c>
      <c r="N4" s="2">
        <v>1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1</v>
      </c>
      <c r="U4" s="2">
        <v>9</v>
      </c>
      <c r="V4" t="s">
        <v>17</v>
      </c>
    </row>
    <row r="5" spans="9:10" ht="13.5" thickTop="1">
      <c r="I5">
        <f>($V$30-$V$29)/(ABS($V$30-$V$29)+0.00000000000000000001)</f>
        <v>1</v>
      </c>
      <c r="J5" t="s">
        <v>72</v>
      </c>
    </row>
    <row r="6" spans="9:22" ht="12.75">
      <c r="I6">
        <f>$V$25/(ABS(-$V$25)+0.00000000000000000001)</f>
        <v>1</v>
      </c>
      <c r="J6" t="s">
        <v>70</v>
      </c>
      <c r="P6" t="s">
        <v>39</v>
      </c>
      <c r="Q6">
        <f>($C$30+$C$11)/2+$G$7*SQRT($Q$8^2*$G$2^2/(1+$G$2^2))+$V$7</f>
        <v>21.742047350954575</v>
      </c>
      <c r="U6" t="s">
        <v>95</v>
      </c>
      <c r="V6">
        <f>MAX(G4/2,N2*(1000*O2+100*P2+10*Q2+R2+0.1*S2+0.01*T2+0.001*U2))</f>
        <v>115.928</v>
      </c>
    </row>
    <row r="7" spans="6:22" ht="12.75">
      <c r="F7" t="s">
        <v>20</v>
      </c>
      <c r="G7">
        <f>((E14-G3)/G2-C14)/(0.00000000000000000001+ABS((E14-G3)/G2-C14))</f>
        <v>-1</v>
      </c>
      <c r="I7">
        <f>-($C$11-$V$25)/(ABS($C$11-$V$25)+0.00000000000000000001)</f>
        <v>-1</v>
      </c>
      <c r="J7" t="s">
        <v>71</v>
      </c>
      <c r="P7" t="s">
        <v>40</v>
      </c>
      <c r="Q7">
        <f>($E$30+$E$11)/2+$G$8*SQRT($Q$8^2/(1+$G$2^2))+$V$8</f>
        <v>110.95352189326032</v>
      </c>
      <c r="U7" t="s">
        <v>42</v>
      </c>
      <c r="V7">
        <f>N3*(1000*O3+100*P3+10*Q3+R3+0.1*S3+0.01*T3+0.001*U3)</f>
        <v>0.011</v>
      </c>
    </row>
    <row r="8" spans="6:22" ht="12.75">
      <c r="F8" t="s">
        <v>21</v>
      </c>
      <c r="G8">
        <f>(G2*C14+G3-E14)/(0.00000000000000000001+ABS(G2*C14+G3-E14))</f>
        <v>1</v>
      </c>
      <c r="I8">
        <f>-($C$30-$V$25)/(ABS($C$30-$V$25)+0.00000000000000000001)</f>
        <v>-1</v>
      </c>
      <c r="J8" t="s">
        <v>69</v>
      </c>
      <c r="O8" t="s">
        <v>38</v>
      </c>
      <c r="Q8">
        <f>SQRT(V24^2-(G4/2)^2)</f>
        <v>101.1118501375457</v>
      </c>
      <c r="U8" t="s">
        <v>43</v>
      </c>
      <c r="V8">
        <f>N4*(1000*O4+100*P4+10*Q4+R4+0.1*S4+0.01*T4+0.001*U4)</f>
        <v>0.019000000000000003</v>
      </c>
    </row>
    <row r="9" spans="21:22" ht="12.75">
      <c r="U9" s="5" t="s">
        <v>44</v>
      </c>
      <c r="V9" s="7">
        <f>K32</f>
        <v>0.6981095120633645</v>
      </c>
    </row>
    <row r="10" spans="1:10" ht="12.75">
      <c r="A10" t="s">
        <v>48</v>
      </c>
      <c r="B10" t="s">
        <v>4</v>
      </c>
      <c r="C10" t="s">
        <v>2</v>
      </c>
      <c r="D10" t="s">
        <v>5</v>
      </c>
      <c r="E10" t="s">
        <v>3</v>
      </c>
      <c r="F10" t="s">
        <v>27</v>
      </c>
      <c r="G10" t="s">
        <v>29</v>
      </c>
      <c r="H10" t="s">
        <v>28</v>
      </c>
      <c r="I10" t="s">
        <v>10</v>
      </c>
      <c r="J10" t="s">
        <v>45</v>
      </c>
    </row>
    <row r="11" spans="1:11" ht="12.75">
      <c r="A11">
        <v>1</v>
      </c>
      <c r="B11" t="s">
        <v>49</v>
      </c>
      <c r="C11" s="4">
        <v>39.9041</v>
      </c>
      <c r="D11" s="4">
        <v>0.039</v>
      </c>
      <c r="E11" s="4">
        <v>-3.5602</v>
      </c>
      <c r="F11" s="4">
        <v>0.0035</v>
      </c>
      <c r="G11" s="4">
        <v>52.2805</v>
      </c>
      <c r="H11" s="4">
        <v>0.1057</v>
      </c>
      <c r="I11">
        <f aca="true" t="shared" si="0" ref="I11:I30">(D11^2+F11^2)</f>
        <v>0.00153325</v>
      </c>
      <c r="K11">
        <f>$A11*(($V$6-SQRT(($C11-$Q$6)^2+($E11-$Q$7)^2))^2)/($I11+0.00000000000000000001)</f>
        <v>0.18941083846502182</v>
      </c>
    </row>
    <row r="12" spans="1:11" ht="12.75">
      <c r="A12">
        <v>1</v>
      </c>
      <c r="B12">
        <v>2</v>
      </c>
      <c r="C12" s="4">
        <v>46.3908</v>
      </c>
      <c r="D12" s="4">
        <v>0.075</v>
      </c>
      <c r="E12" s="4">
        <v>-2.2489</v>
      </c>
      <c r="F12" s="4">
        <v>0.0036</v>
      </c>
      <c r="G12" s="4">
        <v>61.7529</v>
      </c>
      <c r="H12" s="4">
        <v>0.0601</v>
      </c>
      <c r="I12">
        <f t="shared" si="0"/>
        <v>0.00563796</v>
      </c>
      <c r="K12">
        <f>$A12*(($V$6-SQRT(($C12-$Q$6)^2+($E12-$Q$7)^2))^2)/($I12+0.00000000000000000001)</f>
        <v>0.9487456272106015</v>
      </c>
    </row>
    <row r="13" spans="1:11" ht="12.75">
      <c r="A13">
        <v>1</v>
      </c>
      <c r="B13">
        <v>3</v>
      </c>
      <c r="C13" s="4">
        <v>65.4655</v>
      </c>
      <c r="D13" s="4">
        <v>0.045</v>
      </c>
      <c r="E13" s="4">
        <v>3.5734</v>
      </c>
      <c r="F13" s="4">
        <v>0.0025</v>
      </c>
      <c r="G13" s="4">
        <v>89.3742</v>
      </c>
      <c r="H13" s="4">
        <v>0.0601</v>
      </c>
      <c r="I13">
        <f t="shared" si="0"/>
        <v>0.00203125</v>
      </c>
      <c r="K13">
        <f>$A13*(($V$6-SQRT(($C13-$Q$6)^2+($E13-$Q$7)^2))^2)/($I13+0.00000000000000000001)</f>
        <v>0.07859601066354974</v>
      </c>
    </row>
    <row r="14" spans="1:11" ht="12.75">
      <c r="A14">
        <v>1</v>
      </c>
      <c r="B14">
        <v>4</v>
      </c>
      <c r="C14" s="4">
        <v>71.6721</v>
      </c>
      <c r="D14" s="4">
        <v>0.047</v>
      </c>
      <c r="E14" s="4">
        <v>6.3765</v>
      </c>
      <c r="F14" s="4">
        <v>0.0042</v>
      </c>
      <c r="G14" s="4">
        <v>98.7955</v>
      </c>
      <c r="H14" s="4">
        <v>0.0566</v>
      </c>
      <c r="I14">
        <f t="shared" si="0"/>
        <v>0.00222664</v>
      </c>
      <c r="K14">
        <f>$A14*(($V$6-SQRT(($C14-$Q$6)^2+($E14-$Q$7)^2))^2)/($I14+0.00000000000000000001)</f>
        <v>0.8253341551288811</v>
      </c>
    </row>
    <row r="15" spans="1:11" ht="12.75">
      <c r="A15">
        <v>1</v>
      </c>
      <c r="B15">
        <v>5</v>
      </c>
      <c r="C15" s="4">
        <v>77.7745</v>
      </c>
      <c r="D15" s="4">
        <v>0.0492</v>
      </c>
      <c r="E15" s="4">
        <v>9.4388</v>
      </c>
      <c r="F15" s="4">
        <v>0.006</v>
      </c>
      <c r="G15" s="4">
        <v>108.3645</v>
      </c>
      <c r="H15" s="4">
        <v>0.0539</v>
      </c>
      <c r="I15">
        <f t="shared" si="0"/>
        <v>0.00245664</v>
      </c>
      <c r="K15">
        <f>$A15*(($V$6-SQRT(($C15-$Q$6)^2+($E15-$Q$7)^2))^2)/($I15+0.00000000000000000001)</f>
        <v>0.23515856669858906</v>
      </c>
    </row>
    <row r="16" spans="1:11" ht="12.75">
      <c r="A16">
        <v>1</v>
      </c>
      <c r="B16">
        <v>6</v>
      </c>
      <c r="C16" s="4">
        <v>83.7244</v>
      </c>
      <c r="D16" s="4">
        <v>0.0516</v>
      </c>
      <c r="E16" s="4">
        <v>13.0403</v>
      </c>
      <c r="F16" s="4">
        <v>0.008</v>
      </c>
      <c r="G16" s="4">
        <v>118.0556</v>
      </c>
      <c r="H16" s="4">
        <v>0.0525</v>
      </c>
      <c r="I16">
        <f t="shared" si="0"/>
        <v>0.00272656</v>
      </c>
      <c r="K16">
        <f>$A16*(($V$6-SQRT(($C16-$Q$6)^2+($E16-$Q$7)^2))^2)/($I16+0.00000000000000000001)</f>
        <v>0.7510674368479299</v>
      </c>
    </row>
    <row r="17" spans="1:11" ht="12.75">
      <c r="A17">
        <v>1</v>
      </c>
      <c r="B17">
        <v>7</v>
      </c>
      <c r="C17" s="4">
        <v>89.5532</v>
      </c>
      <c r="D17" s="4">
        <v>0.0542</v>
      </c>
      <c r="E17" s="4">
        <v>16.8435</v>
      </c>
      <c r="F17" s="4">
        <v>0.0102</v>
      </c>
      <c r="G17" s="4">
        <v>127.7582</v>
      </c>
      <c r="H17" s="4">
        <v>0.0516</v>
      </c>
      <c r="I17">
        <f t="shared" si="0"/>
        <v>0.0030416799999999997</v>
      </c>
      <c r="K17">
        <f>$A17*(($V$6-SQRT(($C17-$Q$6)^2+($E17-$Q$7)^2))^2)/($I17+0.00000000000000000001)</f>
        <v>1.5157113975756225</v>
      </c>
    </row>
    <row r="18" spans="1:11" ht="12.75">
      <c r="A18">
        <v>1</v>
      </c>
      <c r="B18">
        <v>8</v>
      </c>
      <c r="C18" s="4">
        <v>108.0006</v>
      </c>
      <c r="D18" s="4">
        <v>0.0648</v>
      </c>
      <c r="E18" s="4">
        <v>33.4759</v>
      </c>
      <c r="F18" s="4">
        <v>0.0201</v>
      </c>
      <c r="G18" s="4">
        <v>162.3563</v>
      </c>
      <c r="H18" s="4">
        <v>0.0474</v>
      </c>
      <c r="I18">
        <f t="shared" si="0"/>
        <v>0.004603049999999999</v>
      </c>
      <c r="K18">
        <f>$A18*(($V$6-SQRT(($C18-$Q$6)^2+($E18-$Q$7)^2))^2)/($I18+0.00000000000000000001)</f>
        <v>0.06525376603961379</v>
      </c>
    </row>
    <row r="19" spans="1:11" ht="12.75">
      <c r="A19">
        <v>1</v>
      </c>
      <c r="B19">
        <v>9</v>
      </c>
      <c r="C19" s="4">
        <v>112.8244</v>
      </c>
      <c r="D19" s="4">
        <v>0.0686</v>
      </c>
      <c r="E19" s="4">
        <v>39.3275</v>
      </c>
      <c r="F19" s="4">
        <v>0.0239</v>
      </c>
      <c r="G19" s="4">
        <v>172.8217</v>
      </c>
      <c r="H19" s="4">
        <v>0.0459</v>
      </c>
      <c r="I19">
        <f t="shared" si="0"/>
        <v>0.005277169999999999</v>
      </c>
      <c r="K19">
        <f>$A19*(($V$6-SQRT(($C19-$Q$6)^2+($E19-$Q$7)^2))^2)/($I19+0.00000000000000000001)</f>
        <v>0.5977805514367969</v>
      </c>
    </row>
    <row r="20" spans="1:11" ht="12.75">
      <c r="A20">
        <v>1</v>
      </c>
      <c r="B20">
        <v>10</v>
      </c>
      <c r="C20" s="4">
        <v>117.4607</v>
      </c>
      <c r="D20" s="4">
        <v>0.073</v>
      </c>
      <c r="E20" s="4">
        <v>45.3261</v>
      </c>
      <c r="F20" s="4">
        <v>0.0282</v>
      </c>
      <c r="G20" s="4">
        <v>183.5479</v>
      </c>
      <c r="H20" s="4">
        <v>0.0445</v>
      </c>
      <c r="I20">
        <f t="shared" si="0"/>
        <v>0.0061242399999999995</v>
      </c>
      <c r="K20">
        <f>$A20*(($V$6-SQRT(($C20-$Q$6)^2+($E20-$Q$7)^2))^2)/($I20+0.00000000000000000001)</f>
        <v>2.6795645926012135</v>
      </c>
    </row>
    <row r="21" spans="1:11" ht="12.75">
      <c r="A21">
        <v>1</v>
      </c>
      <c r="B21">
        <v>11</v>
      </c>
      <c r="C21" s="4">
        <v>121.5833</v>
      </c>
      <c r="D21" s="4">
        <v>0.0778</v>
      </c>
      <c r="E21" s="4">
        <v>52.2198</v>
      </c>
      <c r="F21" s="4">
        <v>0.0334</v>
      </c>
      <c r="G21" s="4">
        <v>194.4011</v>
      </c>
      <c r="H21" s="4">
        <v>0.0446</v>
      </c>
      <c r="I21">
        <f t="shared" si="0"/>
        <v>0.007168399999999999</v>
      </c>
      <c r="K21">
        <f>$A21*(($V$6-SQRT(($C21-$Q$6)^2+($E21-$Q$7)^2))^2)/($I21+0.00000000000000000001)</f>
        <v>1.1866258167285215</v>
      </c>
    </row>
    <row r="22" spans="1:18" ht="12.75">
      <c r="A22">
        <v>1</v>
      </c>
      <c r="B22">
        <v>12</v>
      </c>
      <c r="C22" s="4">
        <v>125.4785</v>
      </c>
      <c r="D22" s="4">
        <v>0.0834</v>
      </c>
      <c r="E22" s="4">
        <v>59.1961</v>
      </c>
      <c r="F22" s="4">
        <v>0.0393</v>
      </c>
      <c r="G22" s="4">
        <v>205.6174</v>
      </c>
      <c r="H22" s="4">
        <v>0.0432</v>
      </c>
      <c r="I22">
        <f t="shared" si="0"/>
        <v>0.00850005</v>
      </c>
      <c r="K22">
        <f>$A22*(($V$6-SQRT(($C22-$Q$6)^2+($E22-$Q$7)^2))^2)/($I22+0.00000000000000000001)</f>
        <v>0.0013353429155867913</v>
      </c>
      <c r="Q22" t="s">
        <v>25</v>
      </c>
      <c r="R22" t="s">
        <v>26</v>
      </c>
    </row>
    <row r="23" spans="1:21" ht="12.75">
      <c r="A23">
        <v>0</v>
      </c>
      <c r="B23">
        <v>13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>
        <f t="shared" si="0"/>
        <v>0</v>
      </c>
      <c r="K23">
        <f>$A23*(($V$6-SQRT(($C23-$Q$6)^2+($E23-$Q$7)^2))^2)/($I23+0.00000000000000000001)</f>
        <v>0</v>
      </c>
      <c r="M23">
        <f>$A11</f>
        <v>1</v>
      </c>
      <c r="N23">
        <v>1</v>
      </c>
      <c r="O23">
        <f aca="true" t="shared" si="1" ref="O23:O42">$M23*C11</f>
        <v>39.9041</v>
      </c>
      <c r="P23">
        <f aca="true" t="shared" si="2" ref="P23:P42">$M23*E11</f>
        <v>-3.5602</v>
      </c>
      <c r="Q23">
        <f>$V$25+$V$6*COS(($V$29+($N23-1)*($V$30-$V$29)/19)*$B$1/180)</f>
        <v>39.90143055086662</v>
      </c>
      <c r="R23">
        <f>$V$26+$V$6*SIN(($V$29+($N23-1)*($V$30-$V$29)/19)*$B$1/180)</f>
        <v>-3.543368832203271</v>
      </c>
      <c r="U23" t="s">
        <v>53</v>
      </c>
    </row>
    <row r="24" spans="1:22" ht="12.75">
      <c r="A24">
        <v>0</v>
      </c>
      <c r="B24">
        <v>14</v>
      </c>
      <c r="C24" s="4">
        <v>0</v>
      </c>
      <c r="D24">
        <v>0</v>
      </c>
      <c r="E24" s="4">
        <v>0</v>
      </c>
      <c r="F24" s="4">
        <v>0</v>
      </c>
      <c r="G24" s="4">
        <v>0</v>
      </c>
      <c r="H24" s="4">
        <v>0</v>
      </c>
      <c r="I24">
        <f t="shared" si="0"/>
        <v>0</v>
      </c>
      <c r="K24">
        <f>$A24*(($V$6-SQRT(($C24-$Q$6)^2+($E24-$Q$7)^2))^2)/($I24+0.00000000000000000001)</f>
        <v>0</v>
      </c>
      <c r="M24">
        <f aca="true" t="shared" si="3" ref="M24:M42">$A12</f>
        <v>1</v>
      </c>
      <c r="N24">
        <v>2</v>
      </c>
      <c r="O24">
        <f t="shared" si="1"/>
        <v>46.3908</v>
      </c>
      <c r="P24">
        <f t="shared" si="2"/>
        <v>-2.2489</v>
      </c>
      <c r="Q24">
        <f>$V$25+$V$6*COS(($V$29+($N24-1)*($V$30-$V$29)/19)*$B$1/180)</f>
        <v>46.031996720335954</v>
      </c>
      <c r="R24">
        <f>$V$26+$V$6*SIN(($V$29+($N24-1)*($V$30-$V$29)/19)*$B$1/180)</f>
        <v>-2.4012289715926727</v>
      </c>
      <c r="U24" t="s">
        <v>23</v>
      </c>
      <c r="V24">
        <f>V6</f>
        <v>115.928</v>
      </c>
    </row>
    <row r="25" spans="1:22" ht="12.75">
      <c r="A25">
        <v>0</v>
      </c>
      <c r="B25">
        <v>15</v>
      </c>
      <c r="C25" s="4">
        <v>0</v>
      </c>
      <c r="D25">
        <v>0</v>
      </c>
      <c r="E25" s="4">
        <v>0</v>
      </c>
      <c r="F25" s="4">
        <v>0</v>
      </c>
      <c r="G25" s="4">
        <v>0</v>
      </c>
      <c r="H25" s="4">
        <v>0</v>
      </c>
      <c r="I25">
        <f t="shared" si="0"/>
        <v>0</v>
      </c>
      <c r="K25">
        <f>$A25*(($V$6-SQRT(($C25-$Q$6)^2+($E25-$Q$7)^2))^2)/($I25+0.00000000000000000001)</f>
        <v>0</v>
      </c>
      <c r="M25">
        <f t="shared" si="3"/>
        <v>1</v>
      </c>
      <c r="N25">
        <v>3</v>
      </c>
      <c r="O25">
        <f t="shared" si="1"/>
        <v>65.4655</v>
      </c>
      <c r="P25">
        <f t="shared" si="2"/>
        <v>3.5734</v>
      </c>
      <c r="Q25">
        <f>$V$25+$V$6*COS(($V$29+($N25-1)*($V$30-$V$29)/19)*$B$1/180)</f>
        <v>52.092276836025476</v>
      </c>
      <c r="R25">
        <f>$V$26+$V$6*SIN(($V$29+($N25-1)*($V$30-$V$29)/19)*$B$1/180)</f>
        <v>-0.9310827411733413</v>
      </c>
      <c r="U25" t="s">
        <v>35</v>
      </c>
      <c r="V25">
        <f>$Q$6</f>
        <v>21.742047350954575</v>
      </c>
    </row>
    <row r="26" spans="1:22" ht="12.75">
      <c r="A26">
        <v>0</v>
      </c>
      <c r="B26">
        <v>16</v>
      </c>
      <c r="C26" s="4">
        <v>0</v>
      </c>
      <c r="D26">
        <v>0</v>
      </c>
      <c r="E26" s="4">
        <v>0</v>
      </c>
      <c r="F26" s="4">
        <v>0</v>
      </c>
      <c r="G26" s="4">
        <v>0</v>
      </c>
      <c r="H26" s="4">
        <v>0</v>
      </c>
      <c r="I26">
        <f t="shared" si="0"/>
        <v>0</v>
      </c>
      <c r="K26">
        <f>$A26*(($V$6-SQRT(($C26-$Q$6)^2+($E26-$Q$7)^2))^2)/($I26+0.00000000000000000001)</f>
        <v>0</v>
      </c>
      <c r="M26">
        <f t="shared" si="3"/>
        <v>1</v>
      </c>
      <c r="N26">
        <v>4</v>
      </c>
      <c r="O26">
        <f t="shared" si="1"/>
        <v>71.6721</v>
      </c>
      <c r="P26">
        <f t="shared" si="2"/>
        <v>6.3765</v>
      </c>
      <c r="Q26">
        <f>$V$25+$V$6*COS(($V$29+($N26-1)*($V$30-$V$29)/19)*$B$1/180)</f>
        <v>58.064734707651</v>
      </c>
      <c r="R26">
        <f>$V$26+$V$6*SIN(($V$29+($N26-1)*($V$30-$V$29)/19)*$B$1/180)</f>
        <v>0.8628158042008067</v>
      </c>
      <c r="U26" t="s">
        <v>36</v>
      </c>
      <c r="V26">
        <f>$Q$7</f>
        <v>110.95352189326032</v>
      </c>
    </row>
    <row r="27" spans="1:18" ht="12.75">
      <c r="A27">
        <v>0</v>
      </c>
      <c r="B27">
        <v>17</v>
      </c>
      <c r="C27" s="4">
        <v>0</v>
      </c>
      <c r="D27">
        <v>0</v>
      </c>
      <c r="E27" s="4">
        <v>0</v>
      </c>
      <c r="F27" s="4">
        <v>0</v>
      </c>
      <c r="G27" s="4">
        <v>0</v>
      </c>
      <c r="H27" s="4">
        <v>0</v>
      </c>
      <c r="I27">
        <f t="shared" si="0"/>
        <v>0</v>
      </c>
      <c r="K27">
        <f>$A27*(($V$6-SQRT(($C27-$Q$6)^2+($E27-$Q$7)^2))^2)/($I27+0.00000000000000000001)</f>
        <v>0</v>
      </c>
      <c r="M27">
        <f t="shared" si="3"/>
        <v>1</v>
      </c>
      <c r="N27">
        <v>5</v>
      </c>
      <c r="O27">
        <f t="shared" si="1"/>
        <v>77.7745</v>
      </c>
      <c r="P27">
        <f t="shared" si="2"/>
        <v>9.4388</v>
      </c>
      <c r="Q27">
        <f>$V$25+$V$6*COS(($V$29+($N27-1)*($V$30-$V$29)/19)*$B$1/180)</f>
        <v>63.9320882697468</v>
      </c>
      <c r="R27">
        <f>$V$26+$V$6*SIN(($V$29+($N27-1)*($V$30-$V$29)/19)*$B$1/180)</f>
        <v>2.975275791229933</v>
      </c>
    </row>
    <row r="28" spans="1:22" ht="12.75">
      <c r="A28">
        <v>0</v>
      </c>
      <c r="B28">
        <v>18</v>
      </c>
      <c r="C28" s="4">
        <v>0</v>
      </c>
      <c r="D28">
        <v>0</v>
      </c>
      <c r="E28" s="4">
        <v>0</v>
      </c>
      <c r="F28" s="4">
        <v>0</v>
      </c>
      <c r="G28" s="4">
        <v>0</v>
      </c>
      <c r="H28" s="4">
        <v>0</v>
      </c>
      <c r="I28">
        <f t="shared" si="0"/>
        <v>0</v>
      </c>
      <c r="K28">
        <f>$A28*(($V$6-SQRT(($C28-$Q$6)^2+($E28-$Q$7)^2))^2)/($I28+0.00000000000000000001)</f>
        <v>0</v>
      </c>
      <c r="M28">
        <f t="shared" si="3"/>
        <v>1</v>
      </c>
      <c r="N28">
        <v>6</v>
      </c>
      <c r="O28">
        <f t="shared" si="1"/>
        <v>83.7244</v>
      </c>
      <c r="P28">
        <f t="shared" si="2"/>
        <v>13.0403</v>
      </c>
      <c r="Q28">
        <f>$V$25+$V$6*COS(($V$29+($N28-1)*($V$30-$V$29)/19)*$B$1/180)</f>
        <v>69.67735958951691</v>
      </c>
      <c r="R28">
        <f>$V$26+$V$6*SIN(($V$29+($N28-1)*($V$30-$V$29)/19)*$B$1/180)</f>
        <v>5.400184548619549</v>
      </c>
      <c r="U28" t="s">
        <v>30</v>
      </c>
      <c r="V28">
        <f>180/B1*ATAN(ABS((V30-V29))*B1/180*V24/(G30-G11))</f>
        <v>35.71168563794502</v>
      </c>
    </row>
    <row r="29" spans="1:22" ht="12.75">
      <c r="A29">
        <v>0</v>
      </c>
      <c r="B29">
        <v>19</v>
      </c>
      <c r="C29" s="4">
        <v>0</v>
      </c>
      <c r="D29">
        <v>0</v>
      </c>
      <c r="E29" s="4">
        <v>0</v>
      </c>
      <c r="F29" s="4">
        <v>0</v>
      </c>
      <c r="G29" s="4">
        <v>0</v>
      </c>
      <c r="H29" s="4">
        <v>0</v>
      </c>
      <c r="I29">
        <f t="shared" si="0"/>
        <v>0</v>
      </c>
      <c r="K29">
        <f>$A29*(($V$6-SQRT(($C29-$Q$6)^2+($E29-$Q$7)^2))^2)/($I29+0.00000000000000000001)</f>
        <v>0</v>
      </c>
      <c r="M29">
        <f t="shared" si="3"/>
        <v>1</v>
      </c>
      <c r="N29">
        <v>7</v>
      </c>
      <c r="O29">
        <f t="shared" si="1"/>
        <v>89.5532</v>
      </c>
      <c r="P29">
        <f t="shared" si="2"/>
        <v>16.8435</v>
      </c>
      <c r="Q29">
        <f>$V$25+$V$6*COS(($V$29+($N29-1)*($V$30-$V$29)/19)*$B$1/180)</f>
        <v>75.28392399464023</v>
      </c>
      <c r="R29">
        <f>$V$26+$V$6*SIN(($V$29+($N29-1)*($V$30-$V$29)/19)*$B$1/180)</f>
        <v>8.130525294871163</v>
      </c>
      <c r="U29" t="s">
        <v>24</v>
      </c>
      <c r="V29">
        <f>90*(1+$I$7)+ATAN(($E$11-$V$26)/($C$11-$V$25))*180/$B$1</f>
        <v>-80.98786600328529</v>
      </c>
    </row>
    <row r="30" spans="1:22" ht="12.75">
      <c r="A30">
        <v>1</v>
      </c>
      <c r="B30" t="s">
        <v>50</v>
      </c>
      <c r="C30" s="4">
        <v>128.9037</v>
      </c>
      <c r="D30" s="4">
        <v>0.0896</v>
      </c>
      <c r="E30" s="4">
        <v>66.7381</v>
      </c>
      <c r="F30" s="4">
        <v>0.0464</v>
      </c>
      <c r="G30" s="4">
        <v>217.1187</v>
      </c>
      <c r="H30" s="4">
        <v>0.0493</v>
      </c>
      <c r="I30">
        <f t="shared" si="0"/>
        <v>0.010181119999999998</v>
      </c>
      <c r="K30">
        <f>$A30*(($V$6-SQRT(($C30-$Q$6)^2+($E30-$Q$7)^2))^2)/($I30+0.00000000000000000001)</f>
        <v>0.0008395545118077139</v>
      </c>
      <c r="M30">
        <f t="shared" si="3"/>
        <v>1</v>
      </c>
      <c r="N30">
        <v>8</v>
      </c>
      <c r="O30">
        <f t="shared" si="1"/>
        <v>108.0006</v>
      </c>
      <c r="P30">
        <f t="shared" si="2"/>
        <v>33.4759</v>
      </c>
      <c r="Q30">
        <f>$V$25+$V$6*COS(($V$29+($N30-1)*($V$30-$V$29)/19)*$B$1/180)</f>
        <v>80.73555817887161</v>
      </c>
      <c r="R30">
        <f>$V$26+$V$6*SIN(($V$29+($N30-1)*($V$30-$V$29)/19)*$B$1/180)</f>
        <v>11.158397442230978</v>
      </c>
      <c r="U30" t="s">
        <v>31</v>
      </c>
      <c r="V30">
        <f>90*(1+$I$8)+ATAN(($E$30-$V$26)/($C$30-$V$25))*180/$B$1</f>
        <v>-22.42128316665766</v>
      </c>
    </row>
    <row r="31" spans="11:22" ht="12.75">
      <c r="K31" t="s">
        <v>19</v>
      </c>
      <c r="M31">
        <f t="shared" si="3"/>
        <v>1</v>
      </c>
      <c r="N31">
        <v>9</v>
      </c>
      <c r="O31">
        <f t="shared" si="1"/>
        <v>112.8244</v>
      </c>
      <c r="P31">
        <f t="shared" si="2"/>
        <v>39.3275</v>
      </c>
      <c r="Q31">
        <f>$V$25+$V$6*COS(($V$29+($N31-1)*($V$30-$V$29)/19)*$B$1/180)</f>
        <v>86.01648714623913</v>
      </c>
      <c r="R31">
        <f>$V$26+$V$6*SIN(($V$29+($N31-1)*($V$30-$V$29)/19)*$B$1/180)</f>
        <v>14.475039458044009</v>
      </c>
      <c r="U31" t="s">
        <v>32</v>
      </c>
      <c r="V31">
        <f>90*(1+$I$6)+ATAN((-$V$26)/(-$V$25))*180/$B$1</f>
        <v>258.9130129223903</v>
      </c>
    </row>
    <row r="32" spans="10:22" ht="12.75">
      <c r="J32" t="s">
        <v>46</v>
      </c>
      <c r="K32">
        <f>SUM(K11:K30)/$C$3</f>
        <v>0.6981095120633645</v>
      </c>
      <c r="M32">
        <f t="shared" si="3"/>
        <v>1</v>
      </c>
      <c r="N32">
        <v>10</v>
      </c>
      <c r="O32">
        <f t="shared" si="1"/>
        <v>117.4607</v>
      </c>
      <c r="P32">
        <f t="shared" si="2"/>
        <v>45.3261</v>
      </c>
      <c r="Q32">
        <f>$V$25+$V$6*COS(($V$29+($N32-1)*($V$30-$V$29)/19)*$B$1/180)</f>
        <v>91.11142985799856</v>
      </c>
      <c r="R32">
        <f>$V$26+$V$6*SIN(($V$29+($N32-1)*($V$30-$V$29)/19)*$B$1/180)</f>
        <v>18.070854217361713</v>
      </c>
      <c r="U32" t="s">
        <v>33</v>
      </c>
      <c r="V32">
        <f>V24-SQRT(V26^2+V25^2)</f>
        <v>2.8642982937081314</v>
      </c>
    </row>
    <row r="33" spans="13:22" ht="12.75">
      <c r="M33">
        <f t="shared" si="3"/>
        <v>1</v>
      </c>
      <c r="N33">
        <v>11</v>
      </c>
      <c r="O33">
        <f t="shared" si="1"/>
        <v>121.5833</v>
      </c>
      <c r="P33">
        <f t="shared" si="2"/>
        <v>52.2198</v>
      </c>
      <c r="Q33">
        <f>$V$25+$V$6*COS(($V$29+($N33-1)*($V$30-$V$29)/19)*$B$1/180)</f>
        <v>96.00564345026007</v>
      </c>
      <c r="R33">
        <f>$V$26+$V$6*SIN(($V$29+($N33-1)*($V$30-$V$29)/19)*$B$1/180)</f>
        <v>21.935436773442007</v>
      </c>
      <c r="U33" t="s">
        <v>11</v>
      </c>
      <c r="V33">
        <f>1.5*V24/100*0.299792458</f>
        <v>0.5213151010653599</v>
      </c>
    </row>
    <row r="34" spans="13:22" ht="12.75">
      <c r="M34">
        <f t="shared" si="3"/>
        <v>1</v>
      </c>
      <c r="N34">
        <v>12</v>
      </c>
      <c r="O34">
        <f t="shared" si="1"/>
        <v>125.4785</v>
      </c>
      <c r="P34">
        <f t="shared" si="2"/>
        <v>59.1961</v>
      </c>
      <c r="Q34">
        <f>$V$25+$V$6*COS(($V$29+($N34-1)*($V$30-$V$29)/19)*$B$1/180)</f>
        <v>100.68496589433747</v>
      </c>
      <c r="R34">
        <f>$V$26+$V$6*SIN(($V$29+($N34-1)*($V$30-$V$29)/19)*$B$1/180)</f>
        <v>26.057604465784365</v>
      </c>
      <c r="U34" t="s">
        <v>0</v>
      </c>
      <c r="V34">
        <f>-$I$5*SIN(V31*$B$1/180)*V33</f>
        <v>0.5115854652354395</v>
      </c>
    </row>
    <row r="35" spans="13:22" ht="12.75">
      <c r="M35">
        <f t="shared" si="3"/>
        <v>0</v>
      </c>
      <c r="N35">
        <v>13</v>
      </c>
      <c r="O35">
        <f t="shared" si="1"/>
        <v>0</v>
      </c>
      <c r="P35">
        <f t="shared" si="2"/>
        <v>0</v>
      </c>
      <c r="Q35">
        <f>$V$25+$V$6*COS(($V$29+($N35-1)*($V$30-$V$29)/19)*$B$1/180)</f>
        <v>105.13585697637703</v>
      </c>
      <c r="R35">
        <f>$V$26+$V$6*SIN(($V$29+($N35-1)*($V$30-$V$29)/19)*$B$1/180)</f>
        <v>30.425429278578335</v>
      </c>
      <c r="U35" t="s">
        <v>1</v>
      </c>
      <c r="V35">
        <f>$I$5*COS(V31*$B$1/180)*V33</f>
        <v>-0.10024842322263951</v>
      </c>
    </row>
    <row r="36" spans="13:22" ht="12.75">
      <c r="M36">
        <f t="shared" si="3"/>
        <v>0</v>
      </c>
      <c r="N36">
        <v>14</v>
      </c>
      <c r="O36">
        <f t="shared" si="1"/>
        <v>0</v>
      </c>
      <c r="P36">
        <f t="shared" si="2"/>
        <v>0</v>
      </c>
      <c r="Q36">
        <f>$V$25+$V$6*COS(($V$29+($N36-1)*($V$30-$V$29)/19)*$B$1/180)</f>
        <v>109.3454374776861</v>
      </c>
      <c r="R36">
        <f>$V$26+$V$6*SIN(($V$29+($N36-1)*($V$30-$V$29)/19)*$B$1/180)</f>
        <v>35.026272355932306</v>
      </c>
      <c r="U36" t="s">
        <v>12</v>
      </c>
      <c r="V36">
        <f>V33/TAN($V$28*$B$1/180)</f>
        <v>0.7251745818751205</v>
      </c>
    </row>
    <row r="37" spans="13:22" ht="12.75">
      <c r="M37">
        <f t="shared" si="3"/>
        <v>0</v>
      </c>
      <c r="N37">
        <v>15</v>
      </c>
      <c r="O37">
        <f t="shared" si="1"/>
        <v>0</v>
      </c>
      <c r="P37">
        <f t="shared" si="2"/>
        <v>0</v>
      </c>
      <c r="Q37">
        <f>$V$25+$V$6*COS(($V$29+($N37-1)*($V$30-$V$29)/19)*$B$1/180)</f>
        <v>113.30152644238845</v>
      </c>
      <c r="R37">
        <f>$V$26+$V$6*SIN(($V$29+($N37-1)*($V$30-$V$29)/19)*$B$1/180)</f>
        <v>39.84682057400852</v>
      </c>
      <c r="U37" t="s">
        <v>13</v>
      </c>
      <c r="V37">
        <f>SQRT($V$34^2+$V$35^2+$V$36^2)</f>
        <v>0.8931111962104955</v>
      </c>
    </row>
    <row r="38" spans="13:22" ht="12.75">
      <c r="M38">
        <f t="shared" si="3"/>
        <v>0</v>
      </c>
      <c r="N38">
        <v>16</v>
      </c>
      <c r="O38">
        <f t="shared" si="1"/>
        <v>0</v>
      </c>
      <c r="P38">
        <f t="shared" si="2"/>
        <v>0</v>
      </c>
      <c r="Q38">
        <f>$V$25+$V$6*COS(($V$29+($N38-1)*($V$30-$V$29)/19)*$B$1/180)</f>
        <v>116.99267642456712</v>
      </c>
      <c r="R38">
        <f>$V$26+$V$6*SIN(($V$29+($N38-1)*($V$30-$V$29)/19)*$B$1/180)</f>
        <v>44.8731250642379</v>
      </c>
      <c r="U38" t="s">
        <v>15</v>
      </c>
      <c r="V38">
        <v>0.14</v>
      </c>
    </row>
    <row r="39" spans="13:22" ht="12.75">
      <c r="M39">
        <f t="shared" si="3"/>
        <v>0</v>
      </c>
      <c r="N39">
        <v>17</v>
      </c>
      <c r="O39">
        <f t="shared" si="1"/>
        <v>0</v>
      </c>
      <c r="P39">
        <f t="shared" si="2"/>
        <v>0</v>
      </c>
      <c r="Q39">
        <f>$V$25+$V$6*COS(($V$29+($N39-1)*($V$30-$V$29)/19)*$B$1/180)</f>
        <v>120.40820661290336</v>
      </c>
      <c r="R39">
        <f>$V$26+$V$6*SIN(($V$29+($N39-1)*($V$30-$V$29)/19)*$B$1/180)</f>
        <v>50.0906415761429</v>
      </c>
      <c r="U39" t="s">
        <v>14</v>
      </c>
      <c r="V39">
        <f>V38^2+V37^2</f>
        <v>0.8172476087965421</v>
      </c>
    </row>
    <row r="40" spans="13:22" ht="12.75">
      <c r="M40">
        <f t="shared" si="3"/>
        <v>0</v>
      </c>
      <c r="N40">
        <v>18</v>
      </c>
      <c r="O40">
        <f t="shared" si="1"/>
        <v>0</v>
      </c>
      <c r="P40">
        <f t="shared" si="2"/>
        <v>0</v>
      </c>
      <c r="Q40">
        <f>$V$25+$V$6*COS(($V$29+($N40-1)*($V$30-$V$29)/19)*$B$1/180)</f>
        <v>123.53823373696076</v>
      </c>
      <c r="R40">
        <f>$V$26+$V$6*SIN(($V$29+($N40-1)*($V$30-$V$29)/19)*$B$1/180)</f>
        <v>55.484272562973814</v>
      </c>
      <c r="U40" t="s">
        <v>34</v>
      </c>
      <c r="V40">
        <f>SQRT(V39)</f>
        <v>0.9040174825724014</v>
      </c>
    </row>
    <row r="41" spans="13:18" ht="12.75">
      <c r="M41">
        <f t="shared" si="3"/>
        <v>0</v>
      </c>
      <c r="N41">
        <v>19</v>
      </c>
      <c r="O41">
        <f t="shared" si="1"/>
        <v>0</v>
      </c>
      <c r="P41">
        <f t="shared" si="2"/>
        <v>0</v>
      </c>
      <c r="Q41">
        <f>$V$25+$V$6*COS(($V$29+($N41-1)*($V$30-$V$29)/19)*$B$1/180)</f>
        <v>126.37370066568364</v>
      </c>
      <c r="R41">
        <f>$V$26+$V$6*SIN(($V$29+($N41-1)*($V$30-$V$29)/19)*$B$1/180)</f>
        <v>61.03841086837784</v>
      </c>
    </row>
    <row r="42" spans="13:18" ht="12.75">
      <c r="M42">
        <f t="shared" si="3"/>
        <v>1</v>
      </c>
      <c r="N42">
        <v>20</v>
      </c>
      <c r="O42">
        <f t="shared" si="1"/>
        <v>128.9037</v>
      </c>
      <c r="P42">
        <f t="shared" si="2"/>
        <v>66.7381</v>
      </c>
      <c r="Q42">
        <f>$V$25+$V$6*COS(($V$29+($N42-1)*($V$30-$V$29)/19)*$B$1/180)</f>
        <v>128.90640261535626</v>
      </c>
      <c r="R42">
        <f>$V$26+$V$6*SIN(($V$29+($N42-1)*($V$30-$V$29)/19)*$B$1/180)</f>
        <v>66.7369848876885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2"/>
  <sheetViews>
    <sheetView workbookViewId="0" topLeftCell="L1">
      <selection activeCell="Y1" sqref="Y1"/>
    </sheetView>
  </sheetViews>
  <sheetFormatPr defaultColWidth="9.140625" defaultRowHeight="12.75"/>
  <cols>
    <col min="1" max="1" width="10.00390625" style="0" customWidth="1"/>
    <col min="22" max="22" width="11.28125" style="0" customWidth="1"/>
  </cols>
  <sheetData>
    <row r="1" spans="1:21" ht="13.5" thickBot="1">
      <c r="A1" t="s">
        <v>47</v>
      </c>
      <c r="B1">
        <v>3.14159265</v>
      </c>
      <c r="D1" t="s">
        <v>9</v>
      </c>
      <c r="I1" t="s">
        <v>104</v>
      </c>
      <c r="N1" s="1" t="s">
        <v>41</v>
      </c>
      <c r="O1">
        <v>1000</v>
      </c>
      <c r="P1">
        <v>100</v>
      </c>
      <c r="Q1">
        <v>10</v>
      </c>
      <c r="R1">
        <v>1</v>
      </c>
      <c r="S1">
        <v>0.1</v>
      </c>
      <c r="T1">
        <v>0.01</v>
      </c>
      <c r="U1">
        <v>0.001</v>
      </c>
    </row>
    <row r="2" spans="6:22" ht="14.25" thickBot="1" thickTop="1">
      <c r="F2" t="s">
        <v>6</v>
      </c>
      <c r="G2">
        <f>(E30-$E$11)/(C30-C11)</f>
        <v>3.862529883652976</v>
      </c>
      <c r="J2" s="1" t="s">
        <v>8</v>
      </c>
      <c r="K2">
        <f>-1/G2</f>
        <v>-0.2588976733182587</v>
      </c>
      <c r="N2" s="2">
        <v>1</v>
      </c>
      <c r="O2" s="2">
        <v>0</v>
      </c>
      <c r="P2" s="2">
        <v>0</v>
      </c>
      <c r="Q2" s="2">
        <v>7</v>
      </c>
      <c r="R2" s="2">
        <v>0</v>
      </c>
      <c r="S2" s="2">
        <v>3</v>
      </c>
      <c r="T2" s="2">
        <v>9</v>
      </c>
      <c r="U2" s="2">
        <v>5</v>
      </c>
      <c r="V2" t="s">
        <v>37</v>
      </c>
    </row>
    <row r="3" spans="2:22" ht="14.25" thickBot="1" thickTop="1">
      <c r="B3" t="s">
        <v>16</v>
      </c>
      <c r="C3" s="3">
        <f>SUM(A11:A30)</f>
        <v>8</v>
      </c>
      <c r="F3" t="s">
        <v>7</v>
      </c>
      <c r="G3">
        <f>E11-C11*G2</f>
        <v>292.15562599160586</v>
      </c>
      <c r="J3" t="s">
        <v>102</v>
      </c>
      <c r="K3">
        <f>-K2*($C$30+$C$11)/2+($E$30+$E$11)/2</f>
        <v>-66.73457638464798</v>
      </c>
      <c r="N3" s="2">
        <v>-1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1</v>
      </c>
      <c r="V3" t="s">
        <v>18</v>
      </c>
    </row>
    <row r="4" spans="5:22" ht="14.25" thickBot="1" thickTop="1">
      <c r="E4" t="s">
        <v>22</v>
      </c>
      <c r="G4">
        <f>SQRT((C30-C11)^2+(E30-E11)^2)</f>
        <v>75.10149870914694</v>
      </c>
      <c r="N4" s="2">
        <v>1</v>
      </c>
      <c r="O4" s="2">
        <v>0</v>
      </c>
      <c r="P4" s="2">
        <v>0</v>
      </c>
      <c r="Q4" s="2">
        <v>0</v>
      </c>
      <c r="R4" s="2">
        <v>0</v>
      </c>
      <c r="S4" s="2">
        <v>1</v>
      </c>
      <c r="T4" s="2">
        <v>6</v>
      </c>
      <c r="U4" s="2">
        <v>6</v>
      </c>
      <c r="V4" t="s">
        <v>17</v>
      </c>
    </row>
    <row r="5" spans="9:10" ht="13.5" thickTop="1">
      <c r="I5">
        <f>($V$30-$V$29)/(ABS($V$30-$V$29)+0.00000000000000000001)</f>
        <v>1</v>
      </c>
      <c r="J5" t="s">
        <v>72</v>
      </c>
    </row>
    <row r="6" spans="9:22" ht="12.75">
      <c r="I6">
        <f>$V$25/(ABS(-$V$25)+0.00000000000000000001)</f>
        <v>-1</v>
      </c>
      <c r="J6" t="s">
        <v>70</v>
      </c>
      <c r="P6" t="s">
        <v>39</v>
      </c>
      <c r="Q6">
        <f>($C$30+$C$11)/2+$G$7*SQRT($Q$8^2*$G$2^2/(1+$G$2^2))+$V$7</f>
        <v>-29.437369805799474</v>
      </c>
      <c r="U6" t="s">
        <v>95</v>
      </c>
      <c r="V6">
        <f>MAX(G4/2,N2*(1000*O2+100*P2+10*Q2+R2+0.1*S2+0.01*T2+0.001*U2))</f>
        <v>70.395</v>
      </c>
    </row>
    <row r="7" spans="6:22" ht="12.75">
      <c r="F7" t="s">
        <v>20</v>
      </c>
      <c r="G7">
        <f>((E14-G3)/G2-C14)/(0.00000000000000000001+ABS((E14-G3)/G2-C14))</f>
        <v>1</v>
      </c>
      <c r="I7">
        <f>-($C$11-$V$25)/(ABS($C$11-$V$25)+0.00000000000000000001)</f>
        <v>1</v>
      </c>
      <c r="J7" t="s">
        <v>71</v>
      </c>
      <c r="P7" t="s">
        <v>40</v>
      </c>
      <c r="Q7">
        <f>($E$30+$E$11)/2+$G$8*SQRT($Q$8^2/(1+$G$2^2))+$V$8</f>
        <v>-58.94756873099065</v>
      </c>
      <c r="U7" t="s">
        <v>42</v>
      </c>
      <c r="V7">
        <f>N3*(1000*O3+100*P3+10*Q3+R3+0.1*S3+0.01*T3+0.001*U3)</f>
        <v>-0.001</v>
      </c>
    </row>
    <row r="8" spans="6:22" ht="12.75">
      <c r="F8" t="s">
        <v>21</v>
      </c>
      <c r="G8">
        <f>(G2*C14+G3-E14)/(0.00000000000000000001+ABS(G2*C14+G3-E14))</f>
        <v>-1</v>
      </c>
      <c r="I8">
        <f>-($C$30-$V$25)/(ABS($C$30-$V$25)+0.00000000000000000001)</f>
        <v>1</v>
      </c>
      <c r="J8" t="s">
        <v>69</v>
      </c>
      <c r="O8" t="s">
        <v>38</v>
      </c>
      <c r="Q8">
        <f>SQRT(V24^2-(G4/2)^2)</f>
        <v>59.54323847348244</v>
      </c>
      <c r="U8" t="s">
        <v>43</v>
      </c>
      <c r="V8">
        <f>N4*(1000*O4+100*P4+10*Q4+R4+0.1*S4+0.01*T4+0.001*U4)</f>
        <v>0.166</v>
      </c>
    </row>
    <row r="9" spans="21:22" ht="12.75">
      <c r="U9" s="5" t="s">
        <v>44</v>
      </c>
      <c r="V9" s="7">
        <f>K32</f>
        <v>0.1918258783617136</v>
      </c>
    </row>
    <row r="10" spans="1:10" ht="12.75">
      <c r="A10" t="s">
        <v>48</v>
      </c>
      <c r="B10" t="s">
        <v>4</v>
      </c>
      <c r="C10" t="s">
        <v>2</v>
      </c>
      <c r="D10" t="s">
        <v>5</v>
      </c>
      <c r="E10" t="s">
        <v>3</v>
      </c>
      <c r="F10" t="s">
        <v>27</v>
      </c>
      <c r="G10" t="s">
        <v>29</v>
      </c>
      <c r="H10" t="s">
        <v>28</v>
      </c>
      <c r="I10" t="s">
        <v>10</v>
      </c>
      <c r="J10" t="s">
        <v>45</v>
      </c>
    </row>
    <row r="11" spans="1:11" ht="12.75">
      <c r="A11">
        <v>1</v>
      </c>
      <c r="B11" t="s">
        <v>51</v>
      </c>
      <c r="C11">
        <v>-77.6676</v>
      </c>
      <c r="D11">
        <v>0.16</v>
      </c>
      <c r="E11">
        <v>-7.8378</v>
      </c>
      <c r="F11">
        <v>0.0161</v>
      </c>
      <c r="G11">
        <v>176.5387</v>
      </c>
      <c r="H11">
        <v>0.1586</v>
      </c>
      <c r="I11">
        <f>(D11^2+F11^2)</f>
        <v>0.02585921</v>
      </c>
      <c r="K11">
        <f>$A11*(($V$6-SQRT(($C11-$Q$6)^2+($E11-$Q$7)^2))^2)/($I11+0.00000000000000000001)</f>
        <v>0.5709528793157498</v>
      </c>
    </row>
    <row r="12" spans="1:11" ht="12.75">
      <c r="A12">
        <v>1</v>
      </c>
      <c r="B12">
        <v>2</v>
      </c>
      <c r="C12">
        <v>-83.3678</v>
      </c>
      <c r="D12">
        <v>0.1774</v>
      </c>
      <c r="E12">
        <v>-13.4776</v>
      </c>
      <c r="F12">
        <v>0.0287</v>
      </c>
      <c r="G12">
        <v>173.0244</v>
      </c>
      <c r="H12">
        <v>0.1586</v>
      </c>
      <c r="I12">
        <f aca="true" t="shared" si="0" ref="I12:I30">(D12^2+F12^2)</f>
        <v>0.03229445</v>
      </c>
      <c r="K12">
        <f>$A12*(($V$6-SQRT(($C12-$Q$6)^2+($E12-$Q$7)^2))^2)/($I12+0.00000000000000000001)</f>
        <v>0.6585575491957898</v>
      </c>
    </row>
    <row r="13" spans="1:11" ht="12.75">
      <c r="A13">
        <v>1</v>
      </c>
      <c r="B13">
        <v>3</v>
      </c>
      <c r="C13">
        <v>-88.4896</v>
      </c>
      <c r="D13">
        <v>0.1972</v>
      </c>
      <c r="E13">
        <v>-20.5408</v>
      </c>
      <c r="F13">
        <v>0.0458</v>
      </c>
      <c r="G13">
        <v>168.8061</v>
      </c>
      <c r="H13">
        <v>0.1586</v>
      </c>
      <c r="I13">
        <f t="shared" si="0"/>
        <v>0.04098547999999999</v>
      </c>
      <c r="K13">
        <f>$A13*(($V$6-SQRT(($C13-$Q$6)^2+($E13-$Q$7)^2))^2)/($I13+0.00000000000000000001)</f>
        <v>0.05670698860163358</v>
      </c>
    </row>
    <row r="14" spans="1:11" ht="12.75">
      <c r="A14">
        <v>1</v>
      </c>
      <c r="B14">
        <v>4</v>
      </c>
      <c r="C14">
        <v>-94.6142</v>
      </c>
      <c r="D14">
        <v>0.2303</v>
      </c>
      <c r="E14">
        <v>-32.4504</v>
      </c>
      <c r="F14">
        <v>0.079</v>
      </c>
      <c r="G14">
        <v>162.3329</v>
      </c>
      <c r="H14">
        <v>0.1586</v>
      </c>
      <c r="I14">
        <f t="shared" si="0"/>
        <v>0.059279090000000006</v>
      </c>
      <c r="K14">
        <f>$A14*(($V$6-SQRT(($C14-$Q$6)^2+($E14-$Q$7)^2))^2)/($I14+0.00000000000000000001)</f>
        <v>0.02425290121952282</v>
      </c>
    </row>
    <row r="15" spans="1:11" ht="12.75">
      <c r="A15">
        <v>1</v>
      </c>
      <c r="B15">
        <v>5</v>
      </c>
      <c r="C15">
        <v>-97.7538</v>
      </c>
      <c r="D15">
        <v>0.2587</v>
      </c>
      <c r="E15">
        <v>-42.1141</v>
      </c>
      <c r="F15">
        <v>0.1115</v>
      </c>
      <c r="G15">
        <v>157.5993</v>
      </c>
      <c r="H15">
        <v>0.1586</v>
      </c>
      <c r="I15">
        <f t="shared" si="0"/>
        <v>0.07935794</v>
      </c>
      <c r="K15">
        <f>$A15*(($V$6-SQRT(($C15-$Q$6)^2+($E15-$Q$7)^2))^2)/($I15+0.00000000000000000001)</f>
        <v>0.015620572031107009</v>
      </c>
    </row>
    <row r="16" spans="1:11" ht="12.75">
      <c r="A16">
        <v>1</v>
      </c>
      <c r="B16">
        <v>6</v>
      </c>
      <c r="C16">
        <v>-99.4913</v>
      </c>
      <c r="D16">
        <v>0.2936</v>
      </c>
      <c r="E16">
        <v>-53.2658</v>
      </c>
      <c r="F16">
        <v>0.1572</v>
      </c>
      <c r="G16">
        <v>152.3299</v>
      </c>
      <c r="H16">
        <v>0.1586</v>
      </c>
      <c r="I16">
        <f t="shared" si="0"/>
        <v>0.11091280000000002</v>
      </c>
      <c r="K16">
        <f>$A16*(($V$6-SQRT(($C16-$Q$6)^2+($E16-$Q$7)^2))^2)/($I16+0.00000000000000000001)</f>
        <v>0.11115882388578509</v>
      </c>
    </row>
    <row r="17" spans="1:11" ht="12.75">
      <c r="A17">
        <v>1</v>
      </c>
      <c r="B17">
        <v>7</v>
      </c>
      <c r="C17">
        <v>-99.3585</v>
      </c>
      <c r="D17">
        <v>0.3403</v>
      </c>
      <c r="E17">
        <v>-65.9737</v>
      </c>
      <c r="F17">
        <v>0.226</v>
      </c>
      <c r="G17">
        <v>146.4425</v>
      </c>
      <c r="H17">
        <v>0.1586</v>
      </c>
      <c r="I17">
        <f t="shared" si="0"/>
        <v>0.16688009</v>
      </c>
      <c r="K17">
        <f>$A17*(($V$6-SQRT(($C17-$Q$6)^2+($E17-$Q$7)^2))^2)/($I17+0.00000000000000000001)</f>
        <v>0.08881110779204429</v>
      </c>
    </row>
    <row r="18" spans="1:11" ht="12.75">
      <c r="A18">
        <v>0</v>
      </c>
      <c r="B18">
        <v>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f t="shared" si="0"/>
        <v>0</v>
      </c>
      <c r="K18">
        <f>$A18*(($V$6-SQRT(($C18-$Q$6)^2+($E18-$Q$7)^2))^2)/($I18+0.00000000000000000001)</f>
        <v>0</v>
      </c>
    </row>
    <row r="19" spans="1:11" ht="12.75">
      <c r="A19">
        <v>0</v>
      </c>
      <c r="B19">
        <v>9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f t="shared" si="0"/>
        <v>0</v>
      </c>
      <c r="K19">
        <f>$A19*(($V$6-SQRT(($C19-$Q$6)^2+($E19-$Q$7)^2))^2)/($I19+0.00000000000000000001)</f>
        <v>0</v>
      </c>
    </row>
    <row r="20" spans="1:11" ht="12.75">
      <c r="A20">
        <v>0</v>
      </c>
      <c r="B20">
        <v>10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f t="shared" si="0"/>
        <v>0</v>
      </c>
      <c r="K20">
        <f>$A20*(($V$6-SQRT(($C20-$Q$6)^2+($E20-$Q$7)^2))^2)/($I20+0.00000000000000000001)</f>
        <v>0</v>
      </c>
    </row>
    <row r="21" spans="1:11" ht="12.75">
      <c r="A21">
        <v>0</v>
      </c>
      <c r="B21">
        <v>11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f t="shared" si="0"/>
        <v>0</v>
      </c>
      <c r="K21">
        <f>$A21*(($V$6-SQRT(($C21-$Q$6)^2+($E21-$Q$7)^2))^2)/($I21+0.00000000000000000001)</f>
        <v>0</v>
      </c>
    </row>
    <row r="22" spans="1:18" ht="12.75">
      <c r="A22">
        <v>0</v>
      </c>
      <c r="B22">
        <v>12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f t="shared" si="0"/>
        <v>0</v>
      </c>
      <c r="K22">
        <f>$A22*(($V$6-SQRT(($C22-$Q$6)^2+($E22-$Q$7)^2))^2)/($I22+0.00000000000000000001)</f>
        <v>0</v>
      </c>
      <c r="Q22" t="s">
        <v>25</v>
      </c>
      <c r="R22" t="s">
        <v>26</v>
      </c>
    </row>
    <row r="23" spans="1:21" ht="12.75">
      <c r="A23">
        <v>0</v>
      </c>
      <c r="B23">
        <v>13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f t="shared" si="0"/>
        <v>0</v>
      </c>
      <c r="K23">
        <f>$A23*(($V$6-SQRT(($C23-$Q$6)^2+($E23-$Q$7)^2))^2)/($I23+0.00000000000000000001)</f>
        <v>0</v>
      </c>
      <c r="M23">
        <f>$A11</f>
        <v>1</v>
      </c>
      <c r="N23">
        <v>1</v>
      </c>
      <c r="O23">
        <f aca="true" t="shared" si="1" ref="O23:O42">$M23*C11</f>
        <v>-77.6676</v>
      </c>
      <c r="P23">
        <f aca="true" t="shared" si="2" ref="P23:P42">$M23*E11</f>
        <v>-7.8378</v>
      </c>
      <c r="Q23">
        <f>$V$25+$V$6*COS(($V$29+($N23-1)*($V$30-$V$29)/19)*$B$1/180)</f>
        <v>-77.75099396211016</v>
      </c>
      <c r="R23">
        <f>$V$26+$V$6*SIN(($V$29+($N23-1)*($V$30-$V$29)/19)*$B$1/180)</f>
        <v>-7.749426715066363</v>
      </c>
      <c r="U23" t="s">
        <v>55</v>
      </c>
    </row>
    <row r="24" spans="1:22" ht="12.75">
      <c r="A24">
        <v>0</v>
      </c>
      <c r="B24">
        <v>14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f t="shared" si="0"/>
        <v>0</v>
      </c>
      <c r="K24">
        <f>$A24*(($V$6-SQRT(($C24-$Q$6)^2+($E24-$Q$7)^2))^2)/($I24+0.00000000000000000001)</f>
        <v>0</v>
      </c>
      <c r="M24">
        <f aca="true" t="shared" si="3" ref="M24:M42">$A12</f>
        <v>1</v>
      </c>
      <c r="N24">
        <v>2</v>
      </c>
      <c r="O24">
        <f t="shared" si="1"/>
        <v>-83.3678</v>
      </c>
      <c r="P24">
        <f t="shared" si="2"/>
        <v>-13.4776</v>
      </c>
      <c r="Q24">
        <f>$V$25+$V$6*COS(($V$29+($N24-1)*($V$30-$V$29)/19)*$B$1/180)</f>
        <v>-80.69841267666705</v>
      </c>
      <c r="R24">
        <f>$V$26+$V$6*SIN(($V$29+($N24-1)*($V$30-$V$29)/19)*$B$1/180)</f>
        <v>-10.700687911697507</v>
      </c>
      <c r="U24" t="s">
        <v>23</v>
      </c>
      <c r="V24">
        <f>V6</f>
        <v>70.395</v>
      </c>
    </row>
    <row r="25" spans="1:22" ht="12.75">
      <c r="A25">
        <v>0</v>
      </c>
      <c r="B25">
        <v>15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f t="shared" si="0"/>
        <v>0</v>
      </c>
      <c r="K25">
        <f>$A25*(($V$6-SQRT(($C25-$Q$6)^2+($E25-$Q$7)^2))^2)/($I25+0.00000000000000000001)</f>
        <v>0</v>
      </c>
      <c r="M25">
        <f t="shared" si="3"/>
        <v>1</v>
      </c>
      <c r="N25">
        <v>3</v>
      </c>
      <c r="O25">
        <f t="shared" si="1"/>
        <v>-88.4896</v>
      </c>
      <c r="P25">
        <f t="shared" si="2"/>
        <v>-20.5408</v>
      </c>
      <c r="Q25">
        <f>$V$25+$V$6*COS(($V$29+($N25-1)*($V$30-$V$29)/19)*$B$1/180)</f>
        <v>-83.46586821086335</v>
      </c>
      <c r="R25">
        <f>$V$26+$V$6*SIN(($V$29+($N25-1)*($V$30-$V$29)/19)*$B$1/180)</f>
        <v>-13.821330408989908</v>
      </c>
      <c r="U25" t="s">
        <v>35</v>
      </c>
      <c r="V25">
        <f>$Q$6</f>
        <v>-29.437369805799474</v>
      </c>
    </row>
    <row r="26" spans="1:22" ht="12.75">
      <c r="A26">
        <v>0</v>
      </c>
      <c r="B26">
        <v>16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f t="shared" si="0"/>
        <v>0</v>
      </c>
      <c r="K26">
        <f>$A26*(($V$6-SQRT(($C26-$Q$6)^2+($E26-$Q$7)^2))^2)/($I26+0.00000000000000000001)</f>
        <v>0</v>
      </c>
      <c r="M26">
        <f t="shared" si="3"/>
        <v>1</v>
      </c>
      <c r="N26">
        <v>4</v>
      </c>
      <c r="O26">
        <f t="shared" si="1"/>
        <v>-94.6142</v>
      </c>
      <c r="P26">
        <f t="shared" si="2"/>
        <v>-32.4504</v>
      </c>
      <c r="Q26">
        <f>$V$25+$V$6*COS(($V$29+($N26-1)*($V$30-$V$29)/19)*$B$1/180)</f>
        <v>-86.04364480256181</v>
      </c>
      <c r="R26">
        <f>$V$26+$V$6*SIN(($V$29+($N26-1)*($V$30-$V$29)/19)*$B$1/180)</f>
        <v>-17.10039850418896</v>
      </c>
      <c r="U26" t="s">
        <v>36</v>
      </c>
      <c r="V26">
        <f>$Q$7</f>
        <v>-58.94756873099065</v>
      </c>
    </row>
    <row r="27" spans="1:18" ht="12.75">
      <c r="A27">
        <v>0</v>
      </c>
      <c r="B27">
        <v>17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f t="shared" si="0"/>
        <v>0</v>
      </c>
      <c r="K27">
        <f>$A27*(($V$6-SQRT(($C27-$Q$6)^2+($E27-$Q$7)^2))^2)/($I27+0.00000000000000000001)</f>
        <v>0</v>
      </c>
      <c r="M27">
        <f t="shared" si="3"/>
        <v>1</v>
      </c>
      <c r="N27">
        <v>5</v>
      </c>
      <c r="O27">
        <f t="shared" si="1"/>
        <v>-97.7538</v>
      </c>
      <c r="P27">
        <f t="shared" si="2"/>
        <v>-42.1141</v>
      </c>
      <c r="Q27">
        <f>$V$25+$V$6*COS(($V$29+($N27-1)*($V$30-$V$29)/19)*$B$1/180)</f>
        <v>-88.42269259932637</v>
      </c>
      <c r="R27">
        <f>$V$26+$V$6*SIN(($V$29+($N27-1)*($V$30-$V$29)/19)*$B$1/180)</f>
        <v>-20.526380306588216</v>
      </c>
    </row>
    <row r="28" spans="1:22" ht="12.75">
      <c r="A28">
        <v>0</v>
      </c>
      <c r="B28">
        <v>18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f t="shared" si="0"/>
        <v>0</v>
      </c>
      <c r="K28">
        <f>$A28*(($V$6-SQRT(($C28-$Q$6)^2+($E28-$Q$7)^2))^2)/($I28+0.00000000000000000001)</f>
        <v>0</v>
      </c>
      <c r="M28">
        <f t="shared" si="3"/>
        <v>1</v>
      </c>
      <c r="N28">
        <v>6</v>
      </c>
      <c r="O28">
        <f t="shared" si="1"/>
        <v>-99.4913</v>
      </c>
      <c r="P28">
        <f t="shared" si="2"/>
        <v>-53.2658</v>
      </c>
      <c r="Q28">
        <f>$V$25+$V$6*COS(($V$29+($N28-1)*($V$30-$V$29)/19)*$B$1/180)</f>
        <v>-90.5946594299221</v>
      </c>
      <c r="R28">
        <f>$V$26+$V$6*SIN(($V$29+($N28-1)*($V$30-$V$29)/19)*$B$1/180)</f>
        <v>-24.087248152556747</v>
      </c>
      <c r="U28" t="s">
        <v>30</v>
      </c>
      <c r="V28">
        <f>180/B1*ATAN(ABS((V30-V29))*B1/180*V24/(G30-G11))</f>
        <v>-65.09049800691349</v>
      </c>
    </row>
    <row r="29" spans="1:22" ht="12.75">
      <c r="A29">
        <v>0</v>
      </c>
      <c r="B29">
        <v>19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f t="shared" si="0"/>
        <v>0</v>
      </c>
      <c r="K29">
        <f>$A29*(($V$6-SQRT(($C29-$Q$6)^2+($E29-$Q$7)^2))^2)/($I29+0.00000000000000000001)</f>
        <v>0</v>
      </c>
      <c r="M29">
        <f t="shared" si="3"/>
        <v>1</v>
      </c>
      <c r="N29">
        <v>7</v>
      </c>
      <c r="O29">
        <f t="shared" si="1"/>
        <v>-99.3585</v>
      </c>
      <c r="P29">
        <f t="shared" si="2"/>
        <v>-65.9737</v>
      </c>
      <c r="Q29">
        <f>$V$25+$V$6*COS(($V$29+($N29-1)*($V$30-$V$29)/19)*$B$1/180)</f>
        <v>-92.55192012645195</v>
      </c>
      <c r="R29">
        <f>$V$26+$V$6*SIN(($V$29+($N29-1)*($V$30-$V$29)/19)*$B$1/180)</f>
        <v>-27.770500831301533</v>
      </c>
      <c r="U29" t="s">
        <v>24</v>
      </c>
      <c r="V29">
        <f>90*(1+$I$7)+ATAN(($E$11-$V$26)/($C$11-$V$25))*180/$B$1</f>
        <v>133.3396494163722</v>
      </c>
    </row>
    <row r="30" spans="1:22" ht="12.75">
      <c r="A30">
        <v>1</v>
      </c>
      <c r="B30" t="s">
        <v>52</v>
      </c>
      <c r="C30">
        <v>-96.4906</v>
      </c>
      <c r="D30">
        <v>0.4132</v>
      </c>
      <c r="E30">
        <v>-80.5422</v>
      </c>
      <c r="F30">
        <v>0.3449</v>
      </c>
      <c r="G30">
        <v>139.7312</v>
      </c>
      <c r="H30">
        <v>0.1586</v>
      </c>
      <c r="I30">
        <f t="shared" si="0"/>
        <v>0.28969025</v>
      </c>
      <c r="K30">
        <f>$A30*(($V$6-SQRT(($C30-$Q$6)^2+($E30-$Q$7)^2))^2)/($I30+0.00000000000000000001)</f>
        <v>0.008546204852076496</v>
      </c>
      <c r="M30">
        <f t="shared" si="3"/>
        <v>0</v>
      </c>
      <c r="N30">
        <v>8</v>
      </c>
      <c r="O30">
        <f t="shared" si="1"/>
        <v>0</v>
      </c>
      <c r="P30">
        <f t="shared" si="2"/>
        <v>0</v>
      </c>
      <c r="Q30">
        <f>$V$25+$V$6*COS(($V$29+($N30-1)*($V$30-$V$29)/19)*$B$1/180)</f>
        <v>-94.28760329418773</v>
      </c>
      <c r="R30">
        <f>$V$26+$V$6*SIN(($V$29+($N30-1)*($V$30-$V$29)/19)*$B$1/180)</f>
        <v>-31.563207473120745</v>
      </c>
      <c r="U30" t="s">
        <v>31</v>
      </c>
      <c r="V30">
        <f>90*(1+$I$8)+ATAN(($E$30-$V$26)/($C$30-$V$25))*180/$B$1</f>
        <v>197.8512614059334</v>
      </c>
    </row>
    <row r="31" spans="11:22" ht="12.75">
      <c r="K31" t="s">
        <v>19</v>
      </c>
      <c r="M31">
        <f t="shared" si="3"/>
        <v>0</v>
      </c>
      <c r="N31">
        <v>9</v>
      </c>
      <c r="O31">
        <f t="shared" si="1"/>
        <v>0</v>
      </c>
      <c r="P31">
        <f t="shared" si="2"/>
        <v>0</v>
      </c>
      <c r="Q31">
        <f>$V$25+$V$6*COS(($V$29+($N31-1)*($V$30-$V$29)/19)*$B$1/180)</f>
        <v>-95.79561543511478</v>
      </c>
      <c r="R31">
        <f>$V$26+$V$6*SIN(($V$29+($N31-1)*($V$30-$V$29)/19)*$B$1/180)</f>
        <v>-35.45205294606998</v>
      </c>
      <c r="U31" t="s">
        <v>32</v>
      </c>
      <c r="V31">
        <f>90*(1+$I$6)+ATAN((-$V$26)/(-$V$25))*180/$B$1</f>
        <v>63.463271231794785</v>
      </c>
    </row>
    <row r="32" spans="10:22" ht="12.75">
      <c r="J32" t="s">
        <v>46</v>
      </c>
      <c r="K32">
        <f>SUM(K11:K30)/$C$3</f>
        <v>0.1918258783617136</v>
      </c>
      <c r="M32">
        <f t="shared" si="3"/>
        <v>0</v>
      </c>
      <c r="N32">
        <v>10</v>
      </c>
      <c r="O32">
        <f t="shared" si="1"/>
        <v>0</v>
      </c>
      <c r="P32">
        <f t="shared" si="2"/>
        <v>0</v>
      </c>
      <c r="Q32">
        <f>$V$25+$V$6*COS(($V$29+($N32-1)*($V$30-$V$29)/19)*$B$1/180)</f>
        <v>-97.07066234049863</v>
      </c>
      <c r="R32">
        <f>$V$26+$V$6*SIN(($V$29+($N32-1)*($V$30-$V$29)/19)*$B$1/180)</f>
        <v>-39.42338460166508</v>
      </c>
      <c r="U32" t="s">
        <v>33</v>
      </c>
      <c r="V32">
        <f>V24-SQRT(V26^2+V25^2)</f>
        <v>4.50589164074033</v>
      </c>
    </row>
    <row r="33" spans="13:22" ht="12.75">
      <c r="M33">
        <f t="shared" si="3"/>
        <v>0</v>
      </c>
      <c r="N33">
        <v>11</v>
      </c>
      <c r="O33">
        <f t="shared" si="1"/>
        <v>0</v>
      </c>
      <c r="P33">
        <f t="shared" si="2"/>
        <v>0</v>
      </c>
      <c r="Q33">
        <f>$V$25+$V$6*COS(($V$29+($N33-1)*($V$30-$V$29)/19)*$B$1/180)</f>
        <v>-98.10826767737082</v>
      </c>
      <c r="R33">
        <f>$V$26+$V$6*SIN(($V$29+($N33-1)*($V$30-$V$29)/19)*$B$1/180)</f>
        <v>-43.46326020551178</v>
      </c>
      <c r="U33" t="s">
        <v>11</v>
      </c>
      <c r="V33">
        <f>1.5*V24/100*0.299792458</f>
        <v>0.31655835121365</v>
      </c>
    </row>
    <row r="34" spans="13:22" ht="12.75">
      <c r="M34">
        <f t="shared" si="3"/>
        <v>0</v>
      </c>
      <c r="N34">
        <v>12</v>
      </c>
      <c r="O34">
        <f t="shared" si="1"/>
        <v>0</v>
      </c>
      <c r="P34">
        <f t="shared" si="2"/>
        <v>0</v>
      </c>
      <c r="Q34">
        <f>$V$25+$V$6*COS(($V$29+($N34-1)*($V$30-$V$29)/19)*$B$1/180)</f>
        <v>-98.90478870368153</v>
      </c>
      <c r="R34">
        <f>$V$26+$V$6*SIN(($V$29+($N34-1)*($V$30-$V$29)/19)*$B$1/180)</f>
        <v>-47.557496884589554</v>
      </c>
      <c r="U34" t="s">
        <v>0</v>
      </c>
      <c r="V34">
        <f>-$I$5*SIN(V31*$B$1/180)*V33</f>
        <v>-0.2832083424743036</v>
      </c>
    </row>
    <row r="35" spans="13:22" ht="12.75">
      <c r="M35">
        <f t="shared" si="3"/>
        <v>0</v>
      </c>
      <c r="N35">
        <v>13</v>
      </c>
      <c r="O35">
        <f t="shared" si="1"/>
        <v>0</v>
      </c>
      <c r="P35">
        <f t="shared" si="2"/>
        <v>0</v>
      </c>
      <c r="Q35">
        <f>$V$25+$V$6*COS(($V$29+($N35-1)*($V$30-$V$29)/19)*$B$1/180)</f>
        <v>-99.45742905694786</v>
      </c>
      <c r="R35">
        <f>$V$26+$V$6*SIN(($V$29+($N35-1)*($V$30-$V$29)/19)*$B$1/180)</f>
        <v>-51.69172091935144</v>
      </c>
      <c r="U35" t="s">
        <v>1</v>
      </c>
      <c r="V35">
        <f>$I$5*COS(V31*$B$1/180)*V33</f>
        <v>0.14142922072917652</v>
      </c>
    </row>
    <row r="36" spans="13:22" ht="12.75">
      <c r="M36">
        <f t="shared" si="3"/>
        <v>0</v>
      </c>
      <c r="N36">
        <v>14</v>
      </c>
      <c r="O36">
        <f t="shared" si="1"/>
        <v>0</v>
      </c>
      <c r="P36">
        <f t="shared" si="2"/>
        <v>0</v>
      </c>
      <c r="Q36">
        <f>$V$25+$V$6*COS(($V$29+($N36-1)*($V$30-$V$29)/19)*$B$1/180)</f>
        <v>-99.76424857150013</v>
      </c>
      <c r="R36">
        <f>$V$26+$V$6*SIN(($V$29+($N36-1)*($V$30-$V$29)/19)*$B$1/180)</f>
        <v>-55.85141820583164</v>
      </c>
      <c r="U36" t="s">
        <v>12</v>
      </c>
      <c r="V36">
        <f>V33/TAN($V$28*$B$1/180)</f>
        <v>-0.1470053097975019</v>
      </c>
    </row>
    <row r="37" spans="13:22" ht="12.75">
      <c r="M37">
        <f t="shared" si="3"/>
        <v>0</v>
      </c>
      <c r="N37">
        <v>15</v>
      </c>
      <c r="O37">
        <f t="shared" si="1"/>
        <v>0</v>
      </c>
      <c r="P37">
        <f t="shared" si="2"/>
        <v>0</v>
      </c>
      <c r="Q37">
        <f>$V$25+$V$6*COS(($V$29+($N37-1)*($V$30-$V$29)/19)*$B$1/180)</f>
        <v>-99.82417008986079</v>
      </c>
      <c r="R37">
        <f>$V$26+$V$6*SIN(($V$29+($N37-1)*($V$30-$V$29)/19)*$B$1/180)</f>
        <v>-60.021985210604285</v>
      </c>
      <c r="U37" t="s">
        <v>13</v>
      </c>
      <c r="V37">
        <f>SQRT($V$34^2+$V$35^2+$V$36^2)</f>
        <v>0.34902686262201094</v>
      </c>
    </row>
    <row r="38" spans="13:22" ht="12.75">
      <c r="M38">
        <f t="shared" si="3"/>
        <v>0</v>
      </c>
      <c r="N38">
        <v>16</v>
      </c>
      <c r="O38">
        <f t="shared" si="1"/>
        <v>0</v>
      </c>
      <c r="P38">
        <f t="shared" si="2"/>
        <v>0</v>
      </c>
      <c r="Q38">
        <f>$V$25+$V$6*COS(($V$29+($N38-1)*($V$30-$V$29)/19)*$B$1/180)</f>
        <v>-99.63698324434296</v>
      </c>
      <c r="R38">
        <f>$V$26+$V$6*SIN(($V$29+($N38-1)*($V$30-$V$29)/19)*$B$1/180)</f>
        <v>-64.18878023970353</v>
      </c>
      <c r="U38" t="s">
        <v>15</v>
      </c>
      <c r="V38">
        <v>0.14</v>
      </c>
    </row>
    <row r="39" spans="13:22" ht="12.75">
      <c r="M39">
        <f t="shared" si="3"/>
        <v>0</v>
      </c>
      <c r="N39">
        <v>17</v>
      </c>
      <c r="O39">
        <f t="shared" si="1"/>
        <v>0</v>
      </c>
      <c r="P39">
        <f t="shared" si="2"/>
        <v>0</v>
      </c>
      <c r="Q39">
        <f>$V$25+$V$6*COS(($V$29+($N39-1)*($V$30-$V$29)/19)*$B$1/180)</f>
        <v>-99.20334519559252</v>
      </c>
      <c r="R39">
        <f>$V$26+$V$6*SIN(($V$29+($N39-1)*($V$30-$V$29)/19)*$B$1/180)</f>
        <v>-68.33717484151477</v>
      </c>
      <c r="U39" t="s">
        <v>14</v>
      </c>
      <c r="V39">
        <f>V38^2+V37^2</f>
        <v>0.14141975083176409</v>
      </c>
    </row>
    <row r="40" spans="13:22" ht="12.75">
      <c r="M40">
        <f t="shared" si="3"/>
        <v>0</v>
      </c>
      <c r="N40">
        <v>18</v>
      </c>
      <c r="O40">
        <f t="shared" si="1"/>
        <v>0</v>
      </c>
      <c r="P40">
        <f t="shared" si="2"/>
        <v>0</v>
      </c>
      <c r="Q40">
        <f>$V$25+$V$6*COS(($V$29+($N40-1)*($V$30-$V$29)/19)*$B$1/180)</f>
        <v>-98.5247783254809</v>
      </c>
      <c r="R40">
        <f>$V$26+$V$6*SIN(($V$29+($N40-1)*($V$30-$V$29)/19)*$B$1/180)</f>
        <v>-72.45260516317592</v>
      </c>
      <c r="U40" t="s">
        <v>34</v>
      </c>
      <c r="V40">
        <f>SQRT(V39)</f>
        <v>0.37605817479715037</v>
      </c>
    </row>
    <row r="41" spans="13:18" ht="12.75">
      <c r="M41">
        <f t="shared" si="3"/>
        <v>0</v>
      </c>
      <c r="N41">
        <v>19</v>
      </c>
      <c r="O41">
        <f t="shared" si="1"/>
        <v>0</v>
      </c>
      <c r="P41">
        <f t="shared" si="2"/>
        <v>0</v>
      </c>
      <c r="Q41">
        <f>$V$25+$V$6*COS(($V$29+($N41-1)*($V$30-$V$29)/19)*$B$1/180)</f>
        <v>-97.60366489244831</v>
      </c>
      <c r="R41">
        <f>$V$26+$V$6*SIN(($V$29+($N41-1)*($V$30-$V$29)/19)*$B$1/180)</f>
        <v>-76.52062308019003</v>
      </c>
    </row>
    <row r="42" spans="13:18" ht="12.75">
      <c r="M42">
        <f t="shared" si="3"/>
        <v>1</v>
      </c>
      <c r="N42">
        <v>20</v>
      </c>
      <c r="O42">
        <f t="shared" si="1"/>
        <v>-96.4906</v>
      </c>
      <c r="P42">
        <f t="shared" si="2"/>
        <v>-80.5422</v>
      </c>
      <c r="Q42">
        <f>$V$25+$V$6*COS(($V$29+($N42-1)*($V$30-$V$29)/19)*$B$1/180)</f>
        <v>-96.4432386680608</v>
      </c>
      <c r="R42">
        <f>$V$26+$V$6*SIN(($V$29+($N42-1)*($V$30-$V$29)/19)*$B$1/180)</f>
        <v>-80.52694691974851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41"/>
  <sheetViews>
    <sheetView tabSelected="1" workbookViewId="0" topLeftCell="S14">
      <selection activeCell="AD39" sqref="AD39"/>
    </sheetView>
  </sheetViews>
  <sheetFormatPr defaultColWidth="9.140625" defaultRowHeight="12.75"/>
  <cols>
    <col min="24" max="24" width="12.421875" style="0" bestFit="1" customWidth="1"/>
    <col min="29" max="29" width="12.421875" style="0" bestFit="1" customWidth="1"/>
    <col min="30" max="30" width="10.00390625" style="0" bestFit="1" customWidth="1"/>
  </cols>
  <sheetData>
    <row r="1" spans="1:23" ht="12.75">
      <c r="A1" t="str">
        <f>Sheet1!V23</f>
        <v>final results track 1:</v>
      </c>
      <c r="C1" t="s">
        <v>98</v>
      </c>
      <c r="E1" t="str">
        <f>Sheet2!V23</f>
        <v>final results track 2:</v>
      </c>
      <c r="G1" t="s">
        <v>98</v>
      </c>
      <c r="I1" t="str">
        <f>Sheet3!V23</f>
        <v>final results track 3:</v>
      </c>
      <c r="K1" t="s">
        <v>98</v>
      </c>
      <c r="M1" t="str">
        <f>Sheet4!U29</f>
        <v>final results track 4:</v>
      </c>
      <c r="T1" t="s">
        <v>81</v>
      </c>
      <c r="W1">
        <f>N11+F30</f>
        <v>0.83730684453339</v>
      </c>
    </row>
    <row r="2" spans="1:23" ht="12.75">
      <c r="A2" t="str">
        <f>Sheet1!V24</f>
        <v>Radius is:</v>
      </c>
      <c r="B2">
        <f>Sheet1!W24</f>
        <v>683.834</v>
      </c>
      <c r="E2" t="str">
        <f>Sheet2!V24</f>
        <v>Radius is:</v>
      </c>
      <c r="F2">
        <f>Sheet2!W24</f>
        <v>230.664</v>
      </c>
      <c r="I2" t="str">
        <f>Sheet3!V24</f>
        <v>Radius is:</v>
      </c>
      <c r="J2">
        <f>Sheet3!W24</f>
        <v>708.899</v>
      </c>
      <c r="M2" t="str">
        <f>Sheet4!U30</f>
        <v>Radius is:</v>
      </c>
      <c r="N2">
        <f>Sheet4!V30</f>
        <v>70.269</v>
      </c>
      <c r="T2" t="s">
        <v>63</v>
      </c>
      <c r="W2">
        <f>N12+F31</f>
        <v>0.7951859882633198</v>
      </c>
    </row>
    <row r="3" spans="1:23" ht="12.75">
      <c r="A3" t="str">
        <f>Sheet1!V25</f>
        <v>x-loc centre</v>
      </c>
      <c r="B3">
        <f>Sheet1!W25</f>
        <v>273.0058914540512</v>
      </c>
      <c r="E3" t="str">
        <f>Sheet2!V25</f>
        <v>x-loc centre</v>
      </c>
      <c r="F3">
        <f>Sheet2!W25</f>
        <v>-31.375171446451585</v>
      </c>
      <c r="I3" t="str">
        <f>Sheet3!V25</f>
        <v>x-loc centre</v>
      </c>
      <c r="J3">
        <f>Sheet3!W25</f>
        <v>241.13610543193474</v>
      </c>
      <c r="M3" t="str">
        <f>Sheet4!U31</f>
        <v>x-loc centre</v>
      </c>
      <c r="N3">
        <f>Sheet4!V31</f>
        <v>-28.973628300145506</v>
      </c>
      <c r="T3" t="s">
        <v>65</v>
      </c>
      <c r="W3">
        <f>N13+F32</f>
        <v>-0.23960955581805876</v>
      </c>
    </row>
    <row r="4" spans="1:23" ht="12.75">
      <c r="A4" t="str">
        <f>Sheet1!V26</f>
        <v>y-loc centre</v>
      </c>
      <c r="B4">
        <f>Sheet1!W26</f>
        <v>626.9049291689449</v>
      </c>
      <c r="E4" t="str">
        <f>Sheet2!V26</f>
        <v>y-loc centre</v>
      </c>
      <c r="F4">
        <f>Sheet2!W26</f>
        <v>-228.7724240384807</v>
      </c>
      <c r="I4" t="str">
        <f>Sheet3!V26</f>
        <v>y-loc centre</v>
      </c>
      <c r="J4">
        <f>Sheet3!W26</f>
        <v>666.6632208076155</v>
      </c>
      <c r="M4" t="str">
        <f>Sheet4!U32</f>
        <v>y-loc centre</v>
      </c>
      <c r="N4">
        <f>Sheet4!V32</f>
        <v>-58.96146211577752</v>
      </c>
      <c r="T4" t="s">
        <v>66</v>
      </c>
      <c r="W4">
        <f>N14+F33</f>
        <v>0.8706066945490316</v>
      </c>
    </row>
    <row r="5" spans="1:14" ht="12.75">
      <c r="A5">
        <f>Sheet1!V27</f>
        <v>0</v>
      </c>
      <c r="B5">
        <f>Sheet1!W27</f>
        <v>0</v>
      </c>
      <c r="E5">
        <f>Sheet2!V27</f>
        <v>0</v>
      </c>
      <c r="F5">
        <f>Sheet2!W27</f>
        <v>0</v>
      </c>
      <c r="I5">
        <f>Sheet3!V27</f>
        <v>0</v>
      </c>
      <c r="J5">
        <f>Sheet3!W27</f>
        <v>0</v>
      </c>
      <c r="M5">
        <f>Sheet4!U33</f>
        <v>0</v>
      </c>
      <c r="N5">
        <f>Sheet4!V33</f>
        <v>0</v>
      </c>
    </row>
    <row r="6" spans="1:23" ht="12.75">
      <c r="A6" t="str">
        <f>Sheet1!V28</f>
        <v>theta:</v>
      </c>
      <c r="B6">
        <f>Sheet1!W28</f>
        <v>66.74989886026376</v>
      </c>
      <c r="E6" t="str">
        <f>Sheet2!V28</f>
        <v>theta:</v>
      </c>
      <c r="F6">
        <f>Sheet2!W28</f>
        <v>68.27327630592647</v>
      </c>
      <c r="I6" t="str">
        <f>Sheet3!V28</f>
        <v>theta:</v>
      </c>
      <c r="J6">
        <f>Sheet3!W28</f>
        <v>38.123374554278236</v>
      </c>
      <c r="M6" t="str">
        <f>Sheet4!U34</f>
        <v>theta:</v>
      </c>
      <c r="N6">
        <f>Sheet4!V34</f>
        <v>65.28621056454342</v>
      </c>
      <c r="T6" t="s">
        <v>64</v>
      </c>
      <c r="W6">
        <f>N18+F37</f>
        <v>1.2789858563544612</v>
      </c>
    </row>
    <row r="7" spans="1:14" ht="12.75">
      <c r="A7" t="str">
        <f>Sheet1!V29</f>
        <v>phi in:</v>
      </c>
      <c r="B7">
        <f>Sheet1!W29</f>
        <v>249.82699436863595</v>
      </c>
      <c r="E7" t="str">
        <f>Sheet2!V29</f>
        <v>phi in:</v>
      </c>
      <c r="F7">
        <f>Sheet2!W29</f>
        <v>92.06783826827355</v>
      </c>
      <c r="I7" t="str">
        <f>Sheet3!V29</f>
        <v>phi in:</v>
      </c>
      <c r="J7">
        <f>Sheet3!W29</f>
        <v>246.90784765141302</v>
      </c>
      <c r="M7" t="str">
        <f>Sheet4!U35</f>
        <v>phi in:</v>
      </c>
      <c r="N7">
        <f>Sheet4!V35</f>
        <v>29.782562531652488</v>
      </c>
    </row>
    <row r="8" spans="1:14" ht="12.75">
      <c r="A8" t="str">
        <f>Sheet1!V30</f>
        <v>phi out:</v>
      </c>
      <c r="B8">
        <f>Sheet1!W30</f>
        <v>260.82024801365327</v>
      </c>
      <c r="E8" t="str">
        <f>Sheet2!V30</f>
        <v>phi out:</v>
      </c>
      <c r="F8">
        <f>Sheet2!W30</f>
        <v>125.57761291329261</v>
      </c>
      <c r="I8" t="str">
        <f>Sheet3!V30</f>
        <v>phi out:</v>
      </c>
      <c r="J8">
        <f>Sheet3!W30</f>
        <v>236.82730076476932</v>
      </c>
      <c r="M8" t="str">
        <f>Sheet4!U36</f>
        <v>phi out:</v>
      </c>
      <c r="N8">
        <f>Sheet4!V36</f>
        <v>-71.614139143821</v>
      </c>
    </row>
    <row r="9" spans="1:20" ht="12.75">
      <c r="A9" t="str">
        <f>Sheet1!V31</f>
        <v>phi origin:</v>
      </c>
      <c r="B9">
        <f>Sheet1!W31</f>
        <v>246.467735548639</v>
      </c>
      <c r="E9" t="str">
        <f>Sheet2!V31</f>
        <v>phi origin:</v>
      </c>
      <c r="F9">
        <f>Sheet2!W31</f>
        <v>82.1908435260588</v>
      </c>
      <c r="I9" t="str">
        <f>Sheet3!V31</f>
        <v>phi origin:</v>
      </c>
      <c r="J9">
        <f>Sheet3!W31</f>
        <v>250.11463736131688</v>
      </c>
      <c r="M9" t="str">
        <f>Sheet4!U37</f>
        <v>phi origin:</v>
      </c>
      <c r="N9">
        <f>Sheet4!V37</f>
        <v>63.83052504310719</v>
      </c>
      <c r="T9" t="s">
        <v>106</v>
      </c>
    </row>
    <row r="10" spans="1:20" ht="12.75">
      <c r="A10" t="str">
        <f>Sheet1!V32</f>
        <v>dist origin:</v>
      </c>
      <c r="B10">
        <f>Sheet1!W32</f>
        <v>0.06356558144375413</v>
      </c>
      <c r="E10" t="str">
        <f>Sheet2!V32</f>
        <v>dist origin:</v>
      </c>
      <c r="F10">
        <f>Sheet2!W32</f>
        <v>-0.24988737738718214</v>
      </c>
      <c r="I10" t="str">
        <f>Sheet3!V32</f>
        <v>dist origin:</v>
      </c>
      <c r="J10">
        <f>Sheet3!W32</f>
        <v>-0.03433348098724309</v>
      </c>
      <c r="M10" t="str">
        <f>Sheet4!U38</f>
        <v>dist origin:</v>
      </c>
      <c r="N10">
        <f>Sheet4!V38</f>
        <v>4.57329883390193</v>
      </c>
      <c r="T10" t="s">
        <v>107</v>
      </c>
    </row>
    <row r="11" spans="1:20" ht="12.75">
      <c r="A11" t="str">
        <f>Sheet1!V33</f>
        <v>pxy</v>
      </c>
      <c r="B11">
        <f>Sheet1!W33</f>
        <v>3.0751241358595798</v>
      </c>
      <c r="C11" s="5">
        <v>3.071</v>
      </c>
      <c r="E11" t="str">
        <f>Sheet2!V33</f>
        <v>pxy</v>
      </c>
      <c r="F11">
        <f>Sheet2!W33</f>
        <v>1.0372699129816798</v>
      </c>
      <c r="G11" s="5">
        <v>1.047</v>
      </c>
      <c r="I11" t="str">
        <f>Sheet3!V33</f>
        <v>pxy</v>
      </c>
      <c r="J11">
        <f>Sheet3!W33</f>
        <v>3.18783860525613</v>
      </c>
      <c r="K11" s="5">
        <v>3.182</v>
      </c>
      <c r="M11" t="str">
        <f>Sheet4!U39</f>
        <v>pxy</v>
      </c>
      <c r="N11">
        <f>Sheet4!V39</f>
        <v>0.31599174346803</v>
      </c>
      <c r="O11" s="5">
        <v>0.321</v>
      </c>
      <c r="T11" t="s">
        <v>100</v>
      </c>
    </row>
    <row r="12" spans="1:20" ht="12.75">
      <c r="A12" t="str">
        <f>Sheet1!V34</f>
        <v>px</v>
      </c>
      <c r="B12">
        <f>Sheet1!W34</f>
        <v>2.8193826151643244</v>
      </c>
      <c r="C12" s="5">
        <v>2.814</v>
      </c>
      <c r="E12" t="str">
        <f>Sheet2!V34</f>
        <v>px</v>
      </c>
      <c r="F12">
        <f>Sheet2!W34</f>
        <v>-1.0276504157897646</v>
      </c>
      <c r="G12" s="5">
        <v>-1.038</v>
      </c>
      <c r="I12" t="str">
        <f>Sheet3!V34</f>
        <v>px</v>
      </c>
      <c r="J12">
        <f>Sheet3!W34</f>
        <v>-2.997763892410371</v>
      </c>
      <c r="K12" s="5">
        <v>-2.991</v>
      </c>
      <c r="M12" t="str">
        <f>Sheet4!U40</f>
        <v>px</v>
      </c>
      <c r="N12">
        <f>Sheet4!V40</f>
        <v>0.2836005230278803</v>
      </c>
      <c r="O12" s="5">
        <v>0.287</v>
      </c>
      <c r="T12" t="s">
        <v>108</v>
      </c>
    </row>
    <row r="13" spans="1:28" ht="12.75">
      <c r="A13" t="str">
        <f>Sheet1!V35</f>
        <v>py</v>
      </c>
      <c r="B13">
        <f>Sheet1!W35</f>
        <v>-1.2277907477478822</v>
      </c>
      <c r="C13" s="5">
        <v>-1.229</v>
      </c>
      <c r="E13" t="str">
        <f>Sheet2!V35</f>
        <v>py</v>
      </c>
      <c r="F13">
        <f>Sheet2!W35</f>
        <v>0.14093791294093083</v>
      </c>
      <c r="G13" s="5">
        <v>0.133</v>
      </c>
      <c r="I13" t="str">
        <f>Sheet3!V35</f>
        <v>py</v>
      </c>
      <c r="J13">
        <f>Sheet3!W35</f>
        <v>1.084309281765111</v>
      </c>
      <c r="K13" s="5">
        <v>1.085</v>
      </c>
      <c r="M13" t="str">
        <f>Sheet4!U41</f>
        <v>py</v>
      </c>
      <c r="N13">
        <f>Sheet4!V41</f>
        <v>-0.13936113259541924</v>
      </c>
      <c r="O13" s="5">
        <v>-0.145</v>
      </c>
      <c r="T13" t="s">
        <v>73</v>
      </c>
      <c r="U13">
        <f>(F23-N4)/(F22-N3)</f>
        <v>3.350344480826258</v>
      </c>
      <c r="W13" t="s">
        <v>75</v>
      </c>
      <c r="AB13">
        <f>SQRT((F22-N3)^2+(F23-N4)^2)</f>
        <v>177.3222533906536</v>
      </c>
    </row>
    <row r="14" spans="1:28" ht="12.75">
      <c r="A14" t="str">
        <f>Sheet1!V36</f>
        <v>pz</v>
      </c>
      <c r="B14">
        <f>Sheet1!W36</f>
        <v>1.3211840289310577</v>
      </c>
      <c r="C14" s="5">
        <v>1.325</v>
      </c>
      <c r="E14" t="str">
        <f>Sheet2!V36</f>
        <v>pz</v>
      </c>
      <c r="F14">
        <f>Sheet2!W36</f>
        <v>0.4133403533409784</v>
      </c>
      <c r="G14" s="5">
        <v>0.416</v>
      </c>
      <c r="I14" t="str">
        <f>Sheet3!V36</f>
        <v>pz</v>
      </c>
      <c r="J14">
        <f>Sheet3!W36</f>
        <v>4.062187231328051</v>
      </c>
      <c r="K14" s="5">
        <v>4.058</v>
      </c>
      <c r="M14" t="str">
        <f>Sheet4!U42</f>
        <v>pz</v>
      </c>
      <c r="N14">
        <f>Sheet4!V42</f>
        <v>0.1454321126739111</v>
      </c>
      <c r="O14" s="5">
        <v>0.149</v>
      </c>
      <c r="T14" t="s">
        <v>74</v>
      </c>
      <c r="U14">
        <f>F23-U13*F22</f>
        <v>38.110173549126486</v>
      </c>
      <c r="W14" t="s">
        <v>76</v>
      </c>
      <c r="AB14">
        <f>(F21^2-N2^2+AB13^2)/(2*AB13)</f>
        <v>112.63321327904066</v>
      </c>
    </row>
    <row r="15" spans="1:28" ht="12.75">
      <c r="A15" t="str">
        <f>Sheet1!V37</f>
        <v>ptot</v>
      </c>
      <c r="B15">
        <f>Sheet1!W37</f>
        <v>3.3469263047232802</v>
      </c>
      <c r="C15" s="5">
        <v>3.344</v>
      </c>
      <c r="E15" t="str">
        <f>Sheet2!V37</f>
        <v>ptot</v>
      </c>
      <c r="F15">
        <f>Sheet2!W37</f>
        <v>1.1165926383767117</v>
      </c>
      <c r="G15" s="5">
        <v>1.127</v>
      </c>
      <c r="I15" t="str">
        <f>Sheet3!V37</f>
        <v>ptot</v>
      </c>
      <c r="J15">
        <f>Sheet3!W37</f>
        <v>5.163688611402319</v>
      </c>
      <c r="K15" s="5">
        <v>5.157</v>
      </c>
      <c r="M15" t="str">
        <f>Sheet4!U43</f>
        <v>ptot</v>
      </c>
      <c r="N15">
        <f>Sheet4!V43</f>
        <v>0.3478523844057454</v>
      </c>
      <c r="O15" s="5">
        <v>0.354</v>
      </c>
      <c r="AA15" t="s">
        <v>77</v>
      </c>
      <c r="AB15">
        <f>AB13-AB14</f>
        <v>64.68904011161294</v>
      </c>
    </row>
    <row r="16" spans="1:28" ht="12.75">
      <c r="A16" t="str">
        <f>Sheet1!V38</f>
        <v>restmass=</v>
      </c>
      <c r="B16">
        <f>Sheet1!W38</f>
        <v>0.4934</v>
      </c>
      <c r="C16" s="5"/>
      <c r="E16" t="str">
        <f>Sheet2!V38</f>
        <v>restmass=</v>
      </c>
      <c r="F16">
        <f>Sheet2!W38</f>
        <v>0.14</v>
      </c>
      <c r="G16" s="5"/>
      <c r="I16" t="str">
        <f>Sheet3!V38</f>
        <v>restmass=</v>
      </c>
      <c r="J16">
        <f>Sheet3!W38</f>
        <v>0.14</v>
      </c>
      <c r="K16" s="5"/>
      <c r="M16" t="str">
        <f>Sheet4!U44</f>
        <v>restmass=</v>
      </c>
      <c r="N16">
        <f>Sheet4!V44</f>
        <v>0.14</v>
      </c>
      <c r="O16" s="5"/>
      <c r="AA16" t="s">
        <v>78</v>
      </c>
      <c r="AB16">
        <f>SQRT(N2^2-AB15^2)</f>
        <v>27.441946914133727</v>
      </c>
    </row>
    <row r="17" spans="1:28" ht="12.75">
      <c r="A17" t="str">
        <f>Sheet1!V39</f>
        <v>Esq=</v>
      </c>
      <c r="B17">
        <f>Sheet1!W39</f>
        <v>11.44535924924863</v>
      </c>
      <c r="C17" s="5"/>
      <c r="E17" t="str">
        <f>Sheet2!V39</f>
        <v>Esq=</v>
      </c>
      <c r="F17">
        <f>Sheet2!W39</f>
        <v>1.2663791200770662</v>
      </c>
      <c r="G17" s="5"/>
      <c r="I17" t="str">
        <f>Sheet3!V39</f>
        <v>Esq=</v>
      </c>
      <c r="J17">
        <f>Sheet3!W39</f>
        <v>26.683280075526007</v>
      </c>
      <c r="K17" s="5"/>
      <c r="M17" t="str">
        <f>Sheet4!U45</f>
        <v>Esq=</v>
      </c>
      <c r="N17">
        <f>Sheet4!V45</f>
        <v>0.14060128133676247</v>
      </c>
      <c r="O17" s="5"/>
      <c r="AB17">
        <f>SQRT(F21^2-AB14^2)</f>
        <v>27.441946914133826</v>
      </c>
    </row>
    <row r="18" spans="1:20" ht="12.75">
      <c r="A18" t="str">
        <f>Sheet1!V40</f>
        <v>E=</v>
      </c>
      <c r="B18">
        <f>Sheet1!W40</f>
        <v>3.3830990599225186</v>
      </c>
      <c r="C18" s="5">
        <v>3.3804</v>
      </c>
      <c r="E18" t="str">
        <f>Sheet2!V40</f>
        <v>E=</v>
      </c>
      <c r="F18">
        <f>Sheet2!W40</f>
        <v>1.1253351145667971</v>
      </c>
      <c r="G18" s="5">
        <v>1.1353</v>
      </c>
      <c r="I18" t="str">
        <f>Sheet3!V40</f>
        <v>E=</v>
      </c>
      <c r="J18">
        <f>Sheet3!W40</f>
        <v>5.165586130878664</v>
      </c>
      <c r="K18" s="5">
        <v>5.1566</v>
      </c>
      <c r="M18" t="str">
        <f>Sheet4!U46</f>
        <v>E=</v>
      </c>
      <c r="N18">
        <f>Sheet4!V46</f>
        <v>0.37496837378205977</v>
      </c>
      <c r="O18" s="5">
        <v>0.3805</v>
      </c>
      <c r="T18" t="s">
        <v>109</v>
      </c>
    </row>
    <row r="19" spans="23:27" ht="12.75">
      <c r="W19" t="s">
        <v>110</v>
      </c>
      <c r="X19">
        <f>$N$3+SQRT($AB$15^2/($U$13^2+1))-SQRT($U$13^2*$AB$16^2/(1+$U$13^2))</f>
        <v>-36.767628027667456</v>
      </c>
      <c r="Y19" t="s">
        <v>79</v>
      </c>
      <c r="Z19" t="s">
        <v>112</v>
      </c>
      <c r="AA19">
        <f>$N$3+SQRT($AB$15^2/($U$13^2+1))+SQRT($U$13^2*$AB$16^2/(1+$U$13^2))</f>
        <v>15.82360496122785</v>
      </c>
    </row>
    <row r="20" spans="1:27" ht="12.75">
      <c r="A20" t="str">
        <f>Sheet5!U23</f>
        <v>final results track 5:</v>
      </c>
      <c r="C20" t="s">
        <v>98</v>
      </c>
      <c r="E20" t="str">
        <f>Sheet6!U23</f>
        <v>final results track 6:</v>
      </c>
      <c r="G20" t="s">
        <v>98</v>
      </c>
      <c r="I20" t="str">
        <f>Sheet7!U23</f>
        <v>final results track 7:</v>
      </c>
      <c r="K20" t="s">
        <v>98</v>
      </c>
      <c r="W20" t="s">
        <v>111</v>
      </c>
      <c r="X20">
        <f>$N$4+SQRT($AB$16^2/($U$13^2+1))+SQRT($U$13^2*$AB$15^2/(1+$U$13^2))</f>
        <v>10.87395818973355</v>
      </c>
      <c r="Z20" t="s">
        <v>111</v>
      </c>
      <c r="AA20">
        <f>$N$4-SQRT($AB$16^2/($U$13^2+1))+SQRT($U$13^2*$AB$15^2/(1+$U$13^2))</f>
        <v>-4.823303178424418</v>
      </c>
    </row>
    <row r="21" spans="1:27" ht="12.75">
      <c r="A21" t="str">
        <f>Sheet5!U24</f>
        <v>Radius is:</v>
      </c>
      <c r="B21">
        <f>Sheet5!V24</f>
        <v>120.333</v>
      </c>
      <c r="E21" t="str">
        <f>Sheet6!U24</f>
        <v>Radius is:</v>
      </c>
      <c r="F21">
        <f>Sheet6!V24</f>
        <v>115.928</v>
      </c>
      <c r="I21" t="str">
        <f>Sheet7!U24</f>
        <v>Radius is:</v>
      </c>
      <c r="J21">
        <f>Sheet7!V24</f>
        <v>70.395</v>
      </c>
      <c r="AA21" t="s">
        <v>80</v>
      </c>
    </row>
    <row r="22" spans="1:10" ht="12.75">
      <c r="A22" t="str">
        <f>Sheet5!U25</f>
        <v>x-loc centre</v>
      </c>
      <c r="B22">
        <f>Sheet5!V25</f>
        <v>48.27276378969901</v>
      </c>
      <c r="E22" t="str">
        <f>Sheet6!U25</f>
        <v>x-loc centre</v>
      </c>
      <c r="F22">
        <f>Sheet6!V25</f>
        <v>21.742047350954575</v>
      </c>
      <c r="I22" t="str">
        <f>Sheet7!U25</f>
        <v>x-loc centre</v>
      </c>
      <c r="J22">
        <f>Sheet7!V25</f>
        <v>-29.437369805799474</v>
      </c>
    </row>
    <row r="23" spans="1:20" ht="12.75">
      <c r="A23" t="str">
        <f>Sheet5!U26</f>
        <v>y-loc centre</v>
      </c>
      <c r="B23">
        <f>Sheet5!V26</f>
        <v>-110.1612887612505</v>
      </c>
      <c r="E23" t="str">
        <f>Sheet6!U26</f>
        <v>y-loc centre</v>
      </c>
      <c r="F23">
        <f>Sheet6!V26</f>
        <v>110.95352189326032</v>
      </c>
      <c r="I23" t="str">
        <f>Sheet7!U26</f>
        <v>y-loc centre</v>
      </c>
      <c r="J23">
        <f>Sheet7!V26</f>
        <v>-58.94756873099065</v>
      </c>
      <c r="T23" t="s">
        <v>114</v>
      </c>
    </row>
    <row r="24" spans="1:20" ht="12.75">
      <c r="A24">
        <f>Sheet5!U27</f>
        <v>0</v>
      </c>
      <c r="B24">
        <f>Sheet5!V27</f>
        <v>0</v>
      </c>
      <c r="E24">
        <f>Sheet6!U27</f>
        <v>0</v>
      </c>
      <c r="F24">
        <f>Sheet6!V27</f>
        <v>0</v>
      </c>
      <c r="I24">
        <f>Sheet7!U27</f>
        <v>0</v>
      </c>
      <c r="J24">
        <f>Sheet7!V27</f>
        <v>0</v>
      </c>
      <c r="O24" t="s">
        <v>97</v>
      </c>
      <c r="P24" s="5" t="s">
        <v>96</v>
      </c>
      <c r="T24" t="s">
        <v>113</v>
      </c>
    </row>
    <row r="25" spans="1:25" ht="12.75">
      <c r="A25" t="str">
        <f>Sheet5!U28</f>
        <v>theta:</v>
      </c>
      <c r="B25">
        <f>Sheet5!V28</f>
        <v>72.15514010484087</v>
      </c>
      <c r="E25" t="str">
        <f>Sheet6!U28</f>
        <v>theta:</v>
      </c>
      <c r="F25">
        <f>Sheet6!V28</f>
        <v>35.71168563794502</v>
      </c>
      <c r="I25" t="str">
        <f>Sheet7!U28</f>
        <v>theta:</v>
      </c>
      <c r="J25">
        <f>Sheet7!V28</f>
        <v>-65.09049800691349</v>
      </c>
      <c r="M25" t="s">
        <v>67</v>
      </c>
      <c r="O25">
        <f>B11+F11+J11+N11+B30+F30+J30</f>
        <v>8.995221737572141</v>
      </c>
      <c r="P25" s="5">
        <v>9.3051</v>
      </c>
      <c r="U25" t="s">
        <v>82</v>
      </c>
      <c r="V25" t="s">
        <v>0</v>
      </c>
      <c r="W25" t="s">
        <v>1</v>
      </c>
      <c r="X25" t="s">
        <v>12</v>
      </c>
      <c r="Y25" t="s">
        <v>13</v>
      </c>
    </row>
    <row r="26" spans="1:25" ht="12.75">
      <c r="A26" t="str">
        <f>Sheet5!U29</f>
        <v>phi in:</v>
      </c>
      <c r="B26">
        <f>Sheet5!V29</f>
        <v>94.53208821480136</v>
      </c>
      <c r="E26" t="str">
        <f>Sheet6!U29</f>
        <v>phi in:</v>
      </c>
      <c r="F26">
        <f>Sheet6!V29</f>
        <v>-80.98786600328529</v>
      </c>
      <c r="I26" t="str">
        <f>Sheet7!U29</f>
        <v>phi in:</v>
      </c>
      <c r="J26">
        <f>Sheet7!V29</f>
        <v>133.3396494163722</v>
      </c>
      <c r="M26" t="s">
        <v>59</v>
      </c>
      <c r="O26">
        <f>B12+F12+J12+N12+B31+F31+J31</f>
        <v>-0.19842705768868757</v>
      </c>
      <c r="P26" s="5">
        <v>0.0516</v>
      </c>
      <c r="T26">
        <v>4</v>
      </c>
      <c r="U26">
        <f>ATAN((AA20-N4)/(AA19-N3))*180/3.141592653</f>
        <v>50.39355836201383</v>
      </c>
      <c r="V26">
        <f>$N$11*SIN($U$26*3.141592653/180)</f>
        <v>0.2434531760913563</v>
      </c>
      <c r="W26">
        <f>-$N$11*COS($U$26*3.141592653/180)</f>
        <v>-0.2014480900653971</v>
      </c>
      <c r="X26">
        <f>N14</f>
        <v>0.1454321126739111</v>
      </c>
      <c r="Y26">
        <f>SQRT(V26^2+W26^2+X26^2)</f>
        <v>0.3478523844057454</v>
      </c>
    </row>
    <row r="27" spans="1:25" ht="12.75">
      <c r="A27" t="str">
        <f>Sheet5!U30</f>
        <v>phi out:</v>
      </c>
      <c r="B27">
        <f>Sheet5!V30</f>
        <v>23.180240840924704</v>
      </c>
      <c r="E27" t="str">
        <f>Sheet6!U30</f>
        <v>phi out:</v>
      </c>
      <c r="F27">
        <f>Sheet6!V30</f>
        <v>-22.42128316665766</v>
      </c>
      <c r="I27" t="str">
        <f>Sheet7!U30</f>
        <v>phi out:</v>
      </c>
      <c r="J27">
        <f>Sheet7!V30</f>
        <v>197.8512614059334</v>
      </c>
      <c r="M27" t="s">
        <v>60</v>
      </c>
      <c r="O27">
        <f>B13+F13+J13+N13+B32+F32+J32</f>
        <v>0.11646024824005165</v>
      </c>
      <c r="P27" s="5">
        <v>-0.022</v>
      </c>
      <c r="T27">
        <v>6</v>
      </c>
      <c r="U27">
        <f>180+ATAN((AA20-F23)/(AA19-F22))*180/3.141592653</f>
        <v>267.0736211597753</v>
      </c>
      <c r="V27">
        <f>-$F$30*SIN($U$27*3.141592653/180)</f>
        <v>0.5206352844994487</v>
      </c>
      <c r="W27">
        <f>$F$30*COS($U$27*3.141592653/180)</f>
        <v>-0.026614566180280658</v>
      </c>
      <c r="X27">
        <f>F33</f>
        <v>0.7251745818751205</v>
      </c>
      <c r="Y27">
        <f>SQRT(V27^2+W27^2+X27^2)</f>
        <v>0.8931111962104955</v>
      </c>
    </row>
    <row r="28" spans="1:25" ht="12.75">
      <c r="A28" t="str">
        <f>Sheet5!U31</f>
        <v>phi origin:</v>
      </c>
      <c r="B28">
        <f>Sheet5!V31</f>
        <v>113.66307060272985</v>
      </c>
      <c r="E28" t="str">
        <f>Sheet6!U31</f>
        <v>phi origin:</v>
      </c>
      <c r="F28">
        <f>Sheet6!V31</f>
        <v>258.9130129223903</v>
      </c>
      <c r="I28" t="str">
        <f>Sheet7!U31</f>
        <v>phi origin:</v>
      </c>
      <c r="J28">
        <f>Sheet7!V31</f>
        <v>63.463271231794785</v>
      </c>
      <c r="M28" t="s">
        <v>61</v>
      </c>
      <c r="O28">
        <f>B14+F14+J14+N14+B33+F33+J33</f>
        <v>6.694516338468142</v>
      </c>
      <c r="P28" s="5">
        <v>6.8495</v>
      </c>
      <c r="T28" t="s">
        <v>83</v>
      </c>
      <c r="V28">
        <f>V26+V27</f>
        <v>0.764088460590805</v>
      </c>
      <c r="W28">
        <f>W26+W27</f>
        <v>-0.22806265624567776</v>
      </c>
      <c r="X28">
        <f>X26+X27</f>
        <v>0.8706066945490316</v>
      </c>
      <c r="Y28">
        <f>SQRT(V28^2+W28^2+X28^2)</f>
        <v>1.1805929727791247</v>
      </c>
    </row>
    <row r="29" spans="1:16" ht="12.75">
      <c r="A29" t="str">
        <f>Sheet5!U32</f>
        <v>dist origin:</v>
      </c>
      <c r="B29">
        <f>Sheet5!V32</f>
        <v>0.05927358630773938</v>
      </c>
      <c r="E29" t="str">
        <f>Sheet6!U32</f>
        <v>dist origin:</v>
      </c>
      <c r="F29">
        <f>Sheet6!V32</f>
        <v>2.8642982937081314</v>
      </c>
      <c r="I29" t="str">
        <f>Sheet7!U32</f>
        <v>dist origin:</v>
      </c>
      <c r="J29">
        <f>Sheet7!V32</f>
        <v>4.50589164074033</v>
      </c>
      <c r="M29" t="s">
        <v>93</v>
      </c>
      <c r="O29">
        <f>SQRT(O26^2+O27^2+O28^2)</f>
        <v>6.698468876740416</v>
      </c>
      <c r="P29" s="5"/>
    </row>
    <row r="30" spans="1:20" ht="12.75">
      <c r="A30" t="str">
        <f>Sheet5!U33</f>
        <v>pxy</v>
      </c>
      <c r="B30">
        <f>Sheet5!V33</f>
        <v>0.54112388772771</v>
      </c>
      <c r="C30" s="5">
        <v>0.547</v>
      </c>
      <c r="E30" t="str">
        <f>Sheet6!U33</f>
        <v>pxy</v>
      </c>
      <c r="F30">
        <f>Sheet6!V33</f>
        <v>0.5213151010653599</v>
      </c>
      <c r="G30" s="5">
        <v>0.525</v>
      </c>
      <c r="I30" t="str">
        <f>Sheet7!U33</f>
        <v>pxy</v>
      </c>
      <c r="J30">
        <f>Sheet7!V33</f>
        <v>0.31655835121365</v>
      </c>
      <c r="K30" s="5">
        <v>0.321</v>
      </c>
      <c r="M30" t="s">
        <v>62</v>
      </c>
      <c r="O30">
        <f>B18+F18+J18+N18+B37+F37+J37</f>
        <v>11.914523016169404</v>
      </c>
      <c r="P30" s="5">
        <v>11.5544</v>
      </c>
      <c r="T30" t="s">
        <v>115</v>
      </c>
    </row>
    <row r="31" spans="1:16" ht="12.75">
      <c r="A31" t="str">
        <f>Sheet5!U34</f>
        <v>px</v>
      </c>
      <c r="B31">
        <f>Sheet5!V34</f>
        <v>0.4956269895581073</v>
      </c>
      <c r="C31" s="5">
        <v>0.5</v>
      </c>
      <c r="E31" t="str">
        <f>Sheet6!U34</f>
        <v>px</v>
      </c>
      <c r="F31">
        <f>Sheet6!V34</f>
        <v>0.5115854652354395</v>
      </c>
      <c r="G31" s="5">
        <v>0.515</v>
      </c>
      <c r="I31" t="str">
        <f>Sheet7!U34</f>
        <v>px</v>
      </c>
      <c r="J31">
        <f>Sheet7!V34</f>
        <v>-0.2832083424743036</v>
      </c>
      <c r="K31" s="5">
        <v>-0.29</v>
      </c>
      <c r="M31" t="s">
        <v>94</v>
      </c>
      <c r="O31">
        <f>SQRT(O30^2-O29^2)</f>
        <v>9.85324177162879</v>
      </c>
      <c r="P31" s="5">
        <v>9.3051</v>
      </c>
    </row>
    <row r="32" spans="1:26" ht="12.75">
      <c r="A32" t="str">
        <f>Sheet5!U35</f>
        <v>py</v>
      </c>
      <c r="B32">
        <f>Sheet5!V35</f>
        <v>0.21718413637077438</v>
      </c>
      <c r="C32" s="5">
        <v>0.222</v>
      </c>
      <c r="E32" t="str">
        <f>Sheet6!U35</f>
        <v>py</v>
      </c>
      <c r="F32">
        <f>Sheet6!V35</f>
        <v>-0.10024842322263951</v>
      </c>
      <c r="G32" s="5">
        <v>-0.099</v>
      </c>
      <c r="I32" t="str">
        <f>Sheet7!U35</f>
        <v>py</v>
      </c>
      <c r="J32">
        <f>Sheet7!V35</f>
        <v>0.14142922072917652</v>
      </c>
      <c r="K32" s="5">
        <v>0.139</v>
      </c>
      <c r="T32" t="s">
        <v>116</v>
      </c>
      <c r="Y32">
        <f>N18+F37</f>
        <v>1.2789858563544612</v>
      </c>
      <c r="Z32" t="s">
        <v>84</v>
      </c>
    </row>
    <row r="33" spans="1:25" ht="15.75">
      <c r="A33" t="str">
        <f>Sheet5!U36</f>
        <v>pz</v>
      </c>
      <c r="B33">
        <f>Sheet5!V36</f>
        <v>0.17420334011652513</v>
      </c>
      <c r="C33" s="5">
        <v>0.172</v>
      </c>
      <c r="E33" t="str">
        <f>Sheet6!U36</f>
        <v>pz</v>
      </c>
      <c r="F33">
        <f>Sheet6!V36</f>
        <v>0.7251745818751205</v>
      </c>
      <c r="G33" s="5">
        <v>0.729</v>
      </c>
      <c r="I33" t="str">
        <f>Sheet7!U36</f>
        <v>pz</v>
      </c>
      <c r="J33">
        <f>Sheet7!V36</f>
        <v>-0.1470053097975019</v>
      </c>
      <c r="K33" s="5">
        <v>-0.151</v>
      </c>
      <c r="T33" t="s">
        <v>117</v>
      </c>
      <c r="Y33" t="s">
        <v>118</v>
      </c>
    </row>
    <row r="34" spans="1:11" ht="12.75">
      <c r="A34" t="str">
        <f>Sheet5!U37</f>
        <v>ptot</v>
      </c>
      <c r="B34">
        <f>Sheet5!V37</f>
        <v>0.5684732760449739</v>
      </c>
      <c r="C34" s="5">
        <v>0.573</v>
      </c>
      <c r="E34" t="str">
        <f>Sheet6!U37</f>
        <v>ptot</v>
      </c>
      <c r="F34">
        <f>Sheet6!V37</f>
        <v>0.8931111962104955</v>
      </c>
      <c r="G34" s="5">
        <v>0.899</v>
      </c>
      <c r="I34" t="str">
        <f>Sheet7!U37</f>
        <v>ptot</v>
      </c>
      <c r="J34">
        <f>Sheet7!V37</f>
        <v>0.34902686262201094</v>
      </c>
      <c r="K34" s="5">
        <v>0.355</v>
      </c>
    </row>
    <row r="35" spans="1:10" ht="12.75">
      <c r="A35" t="str">
        <f>Sheet5!U38</f>
        <v>restmass=</v>
      </c>
      <c r="B35">
        <f>Sheet5!V38</f>
        <v>0.14</v>
      </c>
      <c r="C35" s="5"/>
      <c r="E35" t="str">
        <f>Sheet6!U38</f>
        <v>restmass=</v>
      </c>
      <c r="F35">
        <f>Sheet6!V38</f>
        <v>0.14</v>
      </c>
      <c r="G35" s="5"/>
      <c r="I35" t="str">
        <f>Sheet7!U38</f>
        <v>restmass=</v>
      </c>
      <c r="J35">
        <f>Sheet7!V38</f>
        <v>0.14</v>
      </c>
    </row>
    <row r="36" spans="1:24" ht="12.75">
      <c r="A36" t="str">
        <f>Sheet5!U39</f>
        <v>Esq=</v>
      </c>
      <c r="B36">
        <f>Sheet5!V39</f>
        <v>0.3427618655773051</v>
      </c>
      <c r="C36" s="5"/>
      <c r="E36" t="str">
        <f>Sheet6!U39</f>
        <v>Esq=</v>
      </c>
      <c r="F36">
        <f>Sheet6!V39</f>
        <v>0.8172476087965421</v>
      </c>
      <c r="G36" s="5"/>
      <c r="I36" t="str">
        <f>Sheet7!U39</f>
        <v>Esq=</v>
      </c>
      <c r="J36">
        <f>Sheet7!V39</f>
        <v>0.14141975083176409</v>
      </c>
      <c r="T36" t="s">
        <v>85</v>
      </c>
      <c r="W36">
        <f>SQRT(Y32^2-Y28^2)</f>
        <v>0.4919400912502491</v>
      </c>
      <c r="X36" t="s">
        <v>84</v>
      </c>
    </row>
    <row r="37" spans="1:25" ht="12.75">
      <c r="A37" t="str">
        <f>Sheet5!U40</f>
        <v>E=</v>
      </c>
      <c r="B37">
        <f>Sheet5!V40</f>
        <v>0.5854586796498154</v>
      </c>
      <c r="C37" s="5">
        <v>0.5899</v>
      </c>
      <c r="E37" t="str">
        <f>Sheet6!U40</f>
        <v>E=</v>
      </c>
      <c r="F37">
        <f>Sheet6!V40</f>
        <v>0.9040174825724014</v>
      </c>
      <c r="G37" s="5">
        <v>0.9098</v>
      </c>
      <c r="I37" t="str">
        <f>Sheet7!U40</f>
        <v>E=</v>
      </c>
      <c r="J37">
        <f>Sheet7!V40</f>
        <v>0.37605817479715037</v>
      </c>
      <c r="W37" s="5">
        <v>0.4989</v>
      </c>
      <c r="X37" t="s">
        <v>120</v>
      </c>
      <c r="Y37" t="s">
        <v>119</v>
      </c>
    </row>
    <row r="38" spans="23:24" ht="12.75">
      <c r="W38" s="9">
        <v>0.4967</v>
      </c>
      <c r="X38" s="9" t="s">
        <v>99</v>
      </c>
    </row>
    <row r="39" spans="20:31" ht="12.75">
      <c r="T39" t="s">
        <v>86</v>
      </c>
      <c r="W39">
        <f>0.01*SQRT(AA19^2+AA20^2)</f>
        <v>0.1654239183189643</v>
      </c>
      <c r="X39" t="s">
        <v>88</v>
      </c>
      <c r="AA39">
        <f>SQRT(Y28^2/(W36^2+Y28^2))</f>
        <v>0.9230696077783149</v>
      </c>
      <c r="AB39" t="s">
        <v>87</v>
      </c>
      <c r="AD39">
        <f>AA39*299792458</f>
        <v>276729306.62095696</v>
      </c>
      <c r="AE39" t="s">
        <v>89</v>
      </c>
    </row>
    <row r="40" spans="20:30" ht="12.75">
      <c r="T40" t="s">
        <v>90</v>
      </c>
      <c r="X40">
        <f>W39/AD39</f>
        <v>5.97782433450569E-10</v>
      </c>
      <c r="Y40" t="s">
        <v>91</v>
      </c>
      <c r="AC40" s="6">
        <f>X40*(1-AA39^2)</f>
        <v>8.843742718013649E-11</v>
      </c>
      <c r="AD40" t="s">
        <v>92</v>
      </c>
    </row>
    <row r="41" spans="20:30" ht="12.75">
      <c r="T41" t="s">
        <v>121</v>
      </c>
      <c r="AC41" s="8">
        <v>8.935E-11</v>
      </c>
      <c r="AD41" s="9" t="s">
        <v>99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wpils</dc:creator>
  <cp:keywords/>
  <dc:description/>
  <cp:lastModifiedBy>versteegh</cp:lastModifiedBy>
  <cp:lastPrinted>2001-07-13T13:54:01Z</cp:lastPrinted>
  <dcterms:created xsi:type="dcterms:W3CDTF">2001-07-12T18:40:39Z</dcterms:created>
  <dcterms:modified xsi:type="dcterms:W3CDTF">2001-07-19T19:54:03Z</dcterms:modified>
  <cp:category/>
  <cp:version/>
  <cp:contentType/>
  <cp:contentStatus/>
</cp:coreProperties>
</file>